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625" codeName="{EAAD5824-E589-9196-6FC8-2F1B51211585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outerHofman\Desktop\"/>
    </mc:Choice>
  </mc:AlternateContent>
  <bookViews>
    <workbookView xWindow="0" yWindow="0" windowWidth="10800" windowHeight="6810" xr2:uid="{00000000-000D-0000-FFFF-FFFF00000000}"/>
  </bookViews>
  <sheets>
    <sheet name="Maand" sheetId="2" r:id="rId1"/>
    <sheet name="4-weken" sheetId="7" r:id="rId2"/>
    <sheet name="Gewogen salaris" sheetId="5" r:id="rId3"/>
    <sheet name="Versiebeheer" sheetId="6" r:id="rId4"/>
    <sheet name="Tijdvakken" sheetId="8" r:id="rId5"/>
  </sheets>
  <definedNames>
    <definedName name="_xlnm._FilterDatabase" localSheetId="1" hidden="1">'4-weken'!$A$3:$B$10</definedName>
    <definedName name="_xlnm._FilterDatabase" localSheetId="0" hidden="1">Maand!$A$3:$B$10</definedName>
    <definedName name="FT_jaar_salaris" localSheetId="1">'4-weken'!$B$5</definedName>
    <definedName name="FT_jaar_salaris">Maand!$B$5</definedName>
  </definedNames>
  <calcPr calcId="171027"/>
</workbook>
</file>

<file path=xl/calcChain.xml><?xml version="1.0" encoding="utf-8"?>
<calcChain xmlns="http://schemas.openxmlformats.org/spreadsheetml/2006/main">
  <c r="G16" i="2" l="1"/>
  <c r="G17" i="7" l="1"/>
  <c r="G18" i="7"/>
  <c r="G19" i="7"/>
  <c r="G20" i="7"/>
  <c r="G21" i="7"/>
  <c r="G22" i="7"/>
  <c r="G23" i="7"/>
  <c r="G24" i="7"/>
  <c r="G25" i="7"/>
  <c r="G26" i="7"/>
  <c r="G27" i="7"/>
  <c r="G28" i="7"/>
  <c r="G16" i="7"/>
  <c r="I37" i="7"/>
  <c r="I38" i="7"/>
  <c r="E20" i="8"/>
  <c r="E21" i="8"/>
  <c r="E22" i="8"/>
  <c r="E23" i="8"/>
  <c r="E24" i="8"/>
  <c r="E25" i="8"/>
  <c r="E26" i="8"/>
  <c r="E27" i="8"/>
  <c r="E28" i="8"/>
  <c r="E29" i="8"/>
  <c r="E30" i="8"/>
  <c r="E19" i="8"/>
  <c r="E3" i="8"/>
  <c r="E4" i="8"/>
  <c r="E5" i="8"/>
  <c r="E6" i="8"/>
  <c r="E7" i="8"/>
  <c r="E8" i="8"/>
  <c r="E9" i="8"/>
  <c r="E10" i="8"/>
  <c r="E11" i="8"/>
  <c r="E12" i="8"/>
  <c r="E13" i="8"/>
  <c r="E14" i="8"/>
  <c r="E2" i="8"/>
  <c r="E17" i="7" l="1"/>
  <c r="E18" i="7"/>
  <c r="E19" i="7"/>
  <c r="E20" i="7"/>
  <c r="E21" i="7"/>
  <c r="E22" i="7"/>
  <c r="E23" i="7"/>
  <c r="E24" i="7"/>
  <c r="E25" i="7"/>
  <c r="E26" i="7"/>
  <c r="E27" i="7"/>
  <c r="E28" i="7"/>
  <c r="E16" i="7"/>
  <c r="G17" i="2"/>
  <c r="G18" i="2"/>
  <c r="G19" i="2"/>
  <c r="G20" i="2"/>
  <c r="G21" i="2"/>
  <c r="G22" i="2"/>
  <c r="G23" i="2"/>
  <c r="G24" i="2"/>
  <c r="G25" i="2"/>
  <c r="G26" i="2"/>
  <c r="G27" i="2"/>
  <c r="W4" i="2" l="1"/>
  <c r="C17" i="7" l="1"/>
  <c r="C16" i="7"/>
  <c r="J16" i="7" s="1"/>
  <c r="J17" i="7" l="1"/>
  <c r="I49" i="7"/>
  <c r="G49" i="7"/>
  <c r="E49" i="7"/>
  <c r="D49" i="7"/>
  <c r="I48" i="7"/>
  <c r="G48" i="7"/>
  <c r="E48" i="7"/>
  <c r="D48" i="7"/>
  <c r="I47" i="7"/>
  <c r="G47" i="7"/>
  <c r="E47" i="7"/>
  <c r="D47" i="7"/>
  <c r="I46" i="7"/>
  <c r="G46" i="7"/>
  <c r="E46" i="7"/>
  <c r="D46" i="7"/>
  <c r="I45" i="7"/>
  <c r="G45" i="7"/>
  <c r="E45" i="7"/>
  <c r="D45" i="7"/>
  <c r="I44" i="7"/>
  <c r="G44" i="7"/>
  <c r="E44" i="7"/>
  <c r="D44" i="7"/>
  <c r="I43" i="7"/>
  <c r="G43" i="7"/>
  <c r="E43" i="7"/>
  <c r="D43" i="7"/>
  <c r="I42" i="7"/>
  <c r="G42" i="7"/>
  <c r="E42" i="7"/>
  <c r="D42" i="7"/>
  <c r="I41" i="7"/>
  <c r="G41" i="7"/>
  <c r="E41" i="7"/>
  <c r="D41" i="7"/>
  <c r="I40" i="7"/>
  <c r="G40" i="7"/>
  <c r="E40" i="7"/>
  <c r="D40" i="7"/>
  <c r="I39" i="7"/>
  <c r="G39" i="7"/>
  <c r="E39" i="7"/>
  <c r="D39" i="7"/>
  <c r="G38" i="7"/>
  <c r="E38" i="7"/>
  <c r="D38" i="7"/>
  <c r="G37" i="7"/>
  <c r="E37" i="7"/>
  <c r="D37" i="7"/>
  <c r="A37" i="7"/>
  <c r="J28" i="7"/>
  <c r="J27" i="7"/>
  <c r="J26" i="7"/>
  <c r="J25" i="7"/>
  <c r="J24" i="7"/>
  <c r="J23" i="7"/>
  <c r="J22" i="7"/>
  <c r="J21" i="7"/>
  <c r="J20" i="7"/>
  <c r="J19" i="7"/>
  <c r="J18" i="7"/>
  <c r="J38" i="7"/>
  <c r="C38" i="7"/>
  <c r="A38" i="7"/>
  <c r="P16" i="7"/>
  <c r="J37" i="7"/>
  <c r="W4" i="7"/>
  <c r="X4" i="7" s="1"/>
  <c r="B8" i="7" s="1"/>
  <c r="J39" i="7" l="1"/>
  <c r="J40" i="7"/>
  <c r="J41" i="7"/>
  <c r="J42" i="7"/>
  <c r="J43" i="7"/>
  <c r="J44" i="7"/>
  <c r="J45" i="7"/>
  <c r="J46" i="7"/>
  <c r="J47" i="7"/>
  <c r="J48" i="7"/>
  <c r="J49" i="7"/>
  <c r="A39" i="7"/>
  <c r="C18" i="7"/>
  <c r="P17" i="7"/>
  <c r="C37" i="7"/>
  <c r="A40" i="7" l="1"/>
  <c r="C19" i="7"/>
  <c r="P19" i="7" s="1"/>
  <c r="C39" i="7"/>
  <c r="P18" i="7"/>
  <c r="L39" i="7"/>
  <c r="L37" i="7"/>
  <c r="L38" i="7"/>
  <c r="C20" i="7" l="1"/>
  <c r="A41" i="7"/>
  <c r="C40" i="7"/>
  <c r="A42" i="7" l="1"/>
  <c r="C21" i="7"/>
  <c r="C41" i="7"/>
  <c r="L41" i="7" s="1"/>
  <c r="P20" i="7"/>
  <c r="L40" i="7"/>
  <c r="A43" i="7" l="1"/>
  <c r="C22" i="7"/>
  <c r="C42" i="7"/>
  <c r="P21" i="7"/>
  <c r="C23" i="7" l="1"/>
  <c r="P23" i="7" s="1"/>
  <c r="A44" i="7"/>
  <c r="C43" i="7"/>
  <c r="L43" i="7" s="1"/>
  <c r="P22" i="7"/>
  <c r="L42" i="7"/>
  <c r="C24" i="7" l="1"/>
  <c r="A45" i="7"/>
  <c r="C44" i="7"/>
  <c r="C45" i="7" l="1"/>
  <c r="L45" i="7" s="1"/>
  <c r="P24" i="7"/>
  <c r="L44" i="7"/>
  <c r="A46" i="7"/>
  <c r="C25" i="7"/>
  <c r="A47" i="7" l="1"/>
  <c r="C26" i="7"/>
  <c r="C46" i="7"/>
  <c r="L46" i="7" s="1"/>
  <c r="P25" i="7"/>
  <c r="C27" i="7" l="1"/>
  <c r="A48" i="7"/>
  <c r="C47" i="7"/>
  <c r="L47" i="7" s="1"/>
  <c r="P26" i="7"/>
  <c r="A29" i="7" l="1"/>
  <c r="A50" i="7" s="1"/>
  <c r="C28" i="7"/>
  <c r="F27" i="7" s="1"/>
  <c r="F48" i="7" s="1"/>
  <c r="A49" i="7"/>
  <c r="C48" i="7"/>
  <c r="L48" i="7" s="1"/>
  <c r="P27" i="7"/>
  <c r="F25" i="7"/>
  <c r="F46" i="7" s="1"/>
  <c r="F22" i="7" l="1"/>
  <c r="F43" i="7" s="1"/>
  <c r="F20" i="7"/>
  <c r="F41" i="7" s="1"/>
  <c r="K27" i="7"/>
  <c r="F21" i="7"/>
  <c r="F42" i="7" s="1"/>
  <c r="F28" i="7"/>
  <c r="F49" i="7" s="1"/>
  <c r="C49" i="7"/>
  <c r="L49" i="7" s="1"/>
  <c r="K28" i="7"/>
  <c r="P28" i="7"/>
  <c r="F19" i="7"/>
  <c r="F40" i="7" s="1"/>
  <c r="K20" i="7"/>
  <c r="F16" i="7"/>
  <c r="F37" i="7" s="1"/>
  <c r="F17" i="7"/>
  <c r="F38" i="7" s="1"/>
  <c r="F18" i="7"/>
  <c r="F39" i="7" s="1"/>
  <c r="F26" i="7"/>
  <c r="F47" i="7" s="1"/>
  <c r="F24" i="7"/>
  <c r="F45" i="7" s="1"/>
  <c r="K25" i="7"/>
  <c r="F23" i="7"/>
  <c r="F44" i="7" s="1"/>
  <c r="K21" i="7" l="1"/>
  <c r="K19" i="7"/>
  <c r="K22" i="7"/>
  <c r="K43" i="7" s="1"/>
  <c r="K26" i="7"/>
  <c r="K47" i="7" s="1"/>
  <c r="K16" i="7"/>
  <c r="O16" i="7" s="1"/>
  <c r="K18" i="7"/>
  <c r="K17" i="7"/>
  <c r="K38" i="7" s="1"/>
  <c r="K23" i="7"/>
  <c r="K24" i="7"/>
  <c r="H27" i="7" s="1"/>
  <c r="K46" i="7"/>
  <c r="K39" i="7"/>
  <c r="K42" i="7"/>
  <c r="K40" i="7"/>
  <c r="K41" i="7"/>
  <c r="K49" i="7"/>
  <c r="K48" i="7"/>
  <c r="H16" i="7" l="1"/>
  <c r="H37" i="7" s="1"/>
  <c r="H19" i="7"/>
  <c r="L23" i="7"/>
  <c r="O17" i="7"/>
  <c r="O18" i="7" s="1"/>
  <c r="O19" i="7" s="1"/>
  <c r="O20" i="7" s="1"/>
  <c r="O21" i="7" s="1"/>
  <c r="O22" i="7" s="1"/>
  <c r="L16" i="7"/>
  <c r="L28" i="7"/>
  <c r="L24" i="7"/>
  <c r="L18" i="7"/>
  <c r="L27" i="7"/>
  <c r="L20" i="7"/>
  <c r="L17" i="7"/>
  <c r="H17" i="7"/>
  <c r="H38" i="7" s="1"/>
  <c r="H23" i="7"/>
  <c r="H44" i="7" s="1"/>
  <c r="K37" i="7"/>
  <c r="M37" i="7" s="1"/>
  <c r="N37" i="7" s="1"/>
  <c r="H28" i="7"/>
  <c r="H49" i="7" s="1"/>
  <c r="H26" i="7"/>
  <c r="H47" i="7" s="1"/>
  <c r="M16" i="7"/>
  <c r="N16" i="7" s="1"/>
  <c r="Q16" i="7" s="1"/>
  <c r="R16" i="7" s="1"/>
  <c r="H24" i="7"/>
  <c r="H20" i="7"/>
  <c r="H41" i="7" s="1"/>
  <c r="L21" i="7"/>
  <c r="L19" i="7"/>
  <c r="L22" i="7"/>
  <c r="L25" i="7"/>
  <c r="H18" i="7"/>
  <c r="H39" i="7" s="1"/>
  <c r="H21" i="7"/>
  <c r="H42" i="7" s="1"/>
  <c r="H25" i="7"/>
  <c r="H46" i="7" s="1"/>
  <c r="L26" i="7"/>
  <c r="H22" i="7"/>
  <c r="H43" i="7" s="1"/>
  <c r="H40" i="7"/>
  <c r="H48" i="7"/>
  <c r="H45" i="7"/>
  <c r="K45" i="7"/>
  <c r="O23" i="7"/>
  <c r="O24" i="7" s="1"/>
  <c r="O25" i="7" s="1"/>
  <c r="O26" i="7" s="1"/>
  <c r="O27" i="7" s="1"/>
  <c r="O28" i="7" s="1"/>
  <c r="K44" i="7"/>
  <c r="M17" i="7" l="1"/>
  <c r="M18" i="7"/>
  <c r="M19" i="7" s="1"/>
  <c r="M20" i="7" s="1"/>
  <c r="M21" i="7" s="1"/>
  <c r="M22" i="7" s="1"/>
  <c r="M23" i="7" s="1"/>
  <c r="M24" i="7" s="1"/>
  <c r="M25" i="7" s="1"/>
  <c r="M26" i="7" s="1"/>
  <c r="M27" i="7" s="1"/>
  <c r="M28" i="7" s="1"/>
  <c r="M38" i="7"/>
  <c r="M39" i="7" s="1"/>
  <c r="M40" i="7" s="1"/>
  <c r="M41" i="7" s="1"/>
  <c r="M42" i="7" s="1"/>
  <c r="M43" i="7" s="1"/>
  <c r="M44" i="7" s="1"/>
  <c r="M45" i="7" s="1"/>
  <c r="M46" i="7" s="1"/>
  <c r="M47" i="7" s="1"/>
  <c r="M48" i="7" s="1"/>
  <c r="M49" i="7" s="1"/>
  <c r="T16" i="7"/>
  <c r="T37" i="7"/>
  <c r="R37" i="7"/>
  <c r="N38" i="7" l="1"/>
  <c r="N17" i="7"/>
  <c r="Q17" i="7" s="1"/>
  <c r="N39" i="7" l="1"/>
  <c r="T38" i="7"/>
  <c r="R38" i="7"/>
  <c r="N18" i="7"/>
  <c r="Q18" i="7" s="1"/>
  <c r="R17" i="7"/>
  <c r="T17" i="7"/>
  <c r="N40" i="7" l="1"/>
  <c r="N19" i="7"/>
  <c r="Q19" i="7" s="1"/>
  <c r="T18" i="7"/>
  <c r="R18" i="7"/>
  <c r="R39" i="7"/>
  <c r="T39" i="7"/>
  <c r="N41" i="7" l="1"/>
  <c r="N20" i="7"/>
  <c r="Q20" i="7" s="1"/>
  <c r="T40" i="7"/>
  <c r="R40" i="7"/>
  <c r="R19" i="7"/>
  <c r="T19" i="7"/>
  <c r="T20" i="7" l="1"/>
  <c r="R20" i="7"/>
  <c r="N42" i="7"/>
  <c r="T41" i="7"/>
  <c r="R41" i="7"/>
  <c r="N21" i="7"/>
  <c r="Q21" i="7" s="1"/>
  <c r="N43" i="7" l="1"/>
  <c r="T42" i="7"/>
  <c r="R42" i="7"/>
  <c r="T21" i="7"/>
  <c r="R21" i="7"/>
  <c r="N22" i="7"/>
  <c r="Q22" i="7" s="1"/>
  <c r="N23" i="7" l="1"/>
  <c r="Q23" i="7" s="1"/>
  <c r="T22" i="7"/>
  <c r="R22" i="7"/>
  <c r="N44" i="7"/>
  <c r="R43" i="7"/>
  <c r="T43" i="7"/>
  <c r="N24" i="7" l="1"/>
  <c r="Q24" i="7" s="1"/>
  <c r="N45" i="7"/>
  <c r="T44" i="7"/>
  <c r="R44" i="7"/>
  <c r="T23" i="7"/>
  <c r="R23" i="7"/>
  <c r="N46" i="7" l="1"/>
  <c r="T45" i="7"/>
  <c r="R45" i="7"/>
  <c r="N25" i="7"/>
  <c r="Q25" i="7" s="1"/>
  <c r="T24" i="7"/>
  <c r="R24" i="7"/>
  <c r="N47" i="7" l="1"/>
  <c r="N26" i="7"/>
  <c r="Q26" i="7" s="1"/>
  <c r="T25" i="7"/>
  <c r="R25" i="7"/>
  <c r="T46" i="7"/>
  <c r="R46" i="7"/>
  <c r="T26" i="7" l="1"/>
  <c r="R26" i="7"/>
  <c r="N27" i="7"/>
  <c r="Q27" i="7" s="1"/>
  <c r="N28" i="7"/>
  <c r="Q28" i="7" s="1"/>
  <c r="N48" i="7"/>
  <c r="N49" i="7"/>
  <c r="R47" i="7"/>
  <c r="T47" i="7"/>
  <c r="T27" i="7" l="1"/>
  <c r="R27" i="7"/>
  <c r="T49" i="7"/>
  <c r="R49" i="7"/>
  <c r="T28" i="7"/>
  <c r="T30" i="7" s="1"/>
  <c r="R28" i="7"/>
  <c r="T48" i="7"/>
  <c r="R48" i="7"/>
  <c r="T51" i="7" l="1"/>
  <c r="D37" i="2"/>
  <c r="E37" i="2"/>
  <c r="G37" i="2"/>
  <c r="I37" i="2"/>
  <c r="D38" i="2"/>
  <c r="E38" i="2"/>
  <c r="G38" i="2"/>
  <c r="I38" i="2"/>
  <c r="D39" i="2"/>
  <c r="E39" i="2"/>
  <c r="G39" i="2"/>
  <c r="I39" i="2"/>
  <c r="D40" i="2"/>
  <c r="E40" i="2"/>
  <c r="G40" i="2"/>
  <c r="I40" i="2"/>
  <c r="D41" i="2"/>
  <c r="E41" i="2"/>
  <c r="G41" i="2"/>
  <c r="I41" i="2"/>
  <c r="D42" i="2"/>
  <c r="E42" i="2"/>
  <c r="G42" i="2"/>
  <c r="I42" i="2"/>
  <c r="D43" i="2"/>
  <c r="E43" i="2"/>
  <c r="G43" i="2"/>
  <c r="I43" i="2"/>
  <c r="D44" i="2"/>
  <c r="E44" i="2"/>
  <c r="G44" i="2"/>
  <c r="I44" i="2"/>
  <c r="D45" i="2"/>
  <c r="E45" i="2"/>
  <c r="G45" i="2"/>
  <c r="I45" i="2"/>
  <c r="D46" i="2"/>
  <c r="E46" i="2"/>
  <c r="G46" i="2"/>
  <c r="I46" i="2"/>
  <c r="D47" i="2"/>
  <c r="E47" i="2"/>
  <c r="G47" i="2"/>
  <c r="I47" i="2"/>
  <c r="C16" i="2"/>
  <c r="D36" i="2"/>
  <c r="I36" i="2"/>
  <c r="G36" i="2"/>
  <c r="E36" i="2"/>
  <c r="J16" i="2" l="1"/>
  <c r="P16" i="2"/>
  <c r="C36" i="2"/>
  <c r="J36" i="2" l="1"/>
  <c r="C23" i="2"/>
  <c r="C24" i="2"/>
  <c r="C25" i="2"/>
  <c r="C26" i="2"/>
  <c r="C46" i="2" s="1"/>
  <c r="C27" i="2"/>
  <c r="C47" i="2" s="1"/>
  <c r="C17" i="2"/>
  <c r="C18" i="2"/>
  <c r="C19" i="2"/>
  <c r="C20" i="2"/>
  <c r="C21" i="2"/>
  <c r="C22" i="2"/>
  <c r="J17" i="2" l="1"/>
  <c r="C39" i="2"/>
  <c r="C42" i="2"/>
  <c r="C38" i="2"/>
  <c r="C45" i="2"/>
  <c r="C41" i="2"/>
  <c r="C44" i="2"/>
  <c r="C40" i="2"/>
  <c r="C43" i="2"/>
  <c r="C37" i="2"/>
  <c r="F22" i="2"/>
  <c r="K22" i="2" s="1"/>
  <c r="P19" i="2"/>
  <c r="P18" i="2"/>
  <c r="P17" i="2"/>
  <c r="F18" i="2"/>
  <c r="K18" i="2" s="1"/>
  <c r="F17" i="2"/>
  <c r="K17" i="2" s="1"/>
  <c r="P27" i="2"/>
  <c r="P26" i="2"/>
  <c r="P25" i="2"/>
  <c r="P24" i="2"/>
  <c r="P23" i="2"/>
  <c r="P22" i="2"/>
  <c r="P21" i="2"/>
  <c r="P20" i="2"/>
  <c r="J18" i="2" l="1"/>
  <c r="J37" i="2"/>
  <c r="F37" i="2"/>
  <c r="F38" i="2"/>
  <c r="F42" i="2"/>
  <c r="D11" i="5"/>
  <c r="F11" i="5" s="1"/>
  <c r="D12" i="5"/>
  <c r="F12" i="5" s="1"/>
  <c r="D13" i="5"/>
  <c r="F13" i="5" s="1"/>
  <c r="D14" i="5"/>
  <c r="F14" i="5" s="1"/>
  <c r="D15" i="5"/>
  <c r="F15" i="5" s="1"/>
  <c r="D16" i="5"/>
  <c r="F16" i="5" s="1"/>
  <c r="D17" i="5"/>
  <c r="F17" i="5" s="1"/>
  <c r="D18" i="5"/>
  <c r="F18" i="5" s="1"/>
  <c r="D19" i="5"/>
  <c r="F19" i="5" s="1"/>
  <c r="D20" i="5"/>
  <c r="F20" i="5" s="1"/>
  <c r="D21" i="5"/>
  <c r="F21" i="5" s="1"/>
  <c r="D22" i="5"/>
  <c r="F22" i="5" s="1"/>
  <c r="D23" i="5"/>
  <c r="F23" i="5" s="1"/>
  <c r="D24" i="5"/>
  <c r="F24" i="5" s="1"/>
  <c r="D25" i="5"/>
  <c r="F25" i="5" s="1"/>
  <c r="D8" i="5"/>
  <c r="F8" i="5" s="1"/>
  <c r="D9" i="5"/>
  <c r="F9" i="5" s="1"/>
  <c r="D10" i="5"/>
  <c r="F10" i="5" s="1"/>
  <c r="D7" i="5"/>
  <c r="F7" i="5" s="1"/>
  <c r="X4" i="2"/>
  <c r="B8" i="2" s="1"/>
  <c r="F26" i="5" l="1"/>
  <c r="J19" i="2"/>
  <c r="J38" i="2"/>
  <c r="L36" i="2"/>
  <c r="L37" i="2"/>
  <c r="L47" i="2"/>
  <c r="L46" i="2"/>
  <c r="L45" i="2"/>
  <c r="L44" i="2"/>
  <c r="L43" i="2"/>
  <c r="L42" i="2"/>
  <c r="L41" i="2"/>
  <c r="L40" i="2"/>
  <c r="L39" i="2"/>
  <c r="L38" i="2"/>
  <c r="K37" i="2"/>
  <c r="F16" i="2"/>
  <c r="K16" i="2" s="1"/>
  <c r="O16" i="2" s="1"/>
  <c r="F27" i="2"/>
  <c r="F26" i="2"/>
  <c r="F25" i="2"/>
  <c r="K25" i="2" s="1"/>
  <c r="F24" i="2"/>
  <c r="K24" i="2" s="1"/>
  <c r="F23" i="2"/>
  <c r="K23" i="2" s="1"/>
  <c r="F21" i="2"/>
  <c r="K21" i="2" s="1"/>
  <c r="F20" i="2"/>
  <c r="K20" i="2" s="1"/>
  <c r="F19" i="2"/>
  <c r="K19" i="2" s="1"/>
  <c r="O17" i="2" l="1"/>
  <c r="L16" i="2"/>
  <c r="L17" i="2" s="1"/>
  <c r="L18" i="2" s="1"/>
  <c r="J20" i="2"/>
  <c r="J39" i="2"/>
  <c r="H16" i="2"/>
  <c r="H17" i="2"/>
  <c r="H19" i="2"/>
  <c r="H39" i="2" s="1"/>
  <c r="H23" i="2"/>
  <c r="H43" i="2" s="1"/>
  <c r="H24" i="2"/>
  <c r="H44" i="2" s="1"/>
  <c r="H20" i="2"/>
  <c r="H40" i="2" s="1"/>
  <c r="H21" i="2"/>
  <c r="H25" i="2"/>
  <c r="H45" i="2" s="1"/>
  <c r="H22" i="2"/>
  <c r="H42" i="2" s="1"/>
  <c r="H18" i="2"/>
  <c r="F39" i="2"/>
  <c r="F40" i="2"/>
  <c r="F41" i="2"/>
  <c r="F43" i="2"/>
  <c r="F44" i="2"/>
  <c r="F45" i="2"/>
  <c r="F46" i="2"/>
  <c r="K26" i="2"/>
  <c r="F47" i="2"/>
  <c r="K27" i="2"/>
  <c r="K47" i="2" s="1"/>
  <c r="F36" i="2"/>
  <c r="H37" i="2"/>
  <c r="K38" i="2"/>
  <c r="K39" i="2"/>
  <c r="K40" i="2"/>
  <c r="K41" i="2"/>
  <c r="K42" i="2"/>
  <c r="K43" i="2"/>
  <c r="K44" i="2"/>
  <c r="K45" i="2"/>
  <c r="M16" i="2" l="1"/>
  <c r="M17" i="2" s="1"/>
  <c r="M18" i="2" s="1"/>
  <c r="J21" i="2"/>
  <c r="J40" i="2"/>
  <c r="H26" i="2"/>
  <c r="H46" i="2" s="1"/>
  <c r="H27" i="2"/>
  <c r="H47" i="2" s="1"/>
  <c r="K46" i="2"/>
  <c r="K36" i="2"/>
  <c r="H38" i="2"/>
  <c r="H41" i="2"/>
  <c r="O18" i="2"/>
  <c r="O19" i="2" s="1"/>
  <c r="O20" i="2" s="1"/>
  <c r="O21" i="2" s="1"/>
  <c r="O22" i="2" s="1"/>
  <c r="O23" i="2" s="1"/>
  <c r="O24" i="2" s="1"/>
  <c r="O25" i="2" s="1"/>
  <c r="O26" i="2" s="1"/>
  <c r="O27" i="2" s="1"/>
  <c r="L19" i="2"/>
  <c r="L20" i="2" s="1"/>
  <c r="L21" i="2" s="1"/>
  <c r="N16" i="2" l="1"/>
  <c r="Q16" i="2" s="1"/>
  <c r="R16" i="2" s="1"/>
  <c r="M19" i="2"/>
  <c r="M20" i="2" s="1"/>
  <c r="M21" i="2" s="1"/>
  <c r="J22" i="2"/>
  <c r="J41" i="2"/>
  <c r="H36" i="2"/>
  <c r="M36" i="2" s="1"/>
  <c r="M37" i="2" s="1"/>
  <c r="M38" i="2" s="1"/>
  <c r="M39" i="2" s="1"/>
  <c r="M40" i="2" s="1"/>
  <c r="M41" i="2" s="1"/>
  <c r="L22" i="2"/>
  <c r="T16" i="2" l="1"/>
  <c r="J23" i="2"/>
  <c r="J42" i="2"/>
  <c r="M42" i="2" s="1"/>
  <c r="M22" i="2"/>
  <c r="N22" i="2" s="1"/>
  <c r="Q22" i="2" s="1"/>
  <c r="L23" i="2"/>
  <c r="N36" i="2"/>
  <c r="N17" i="2"/>
  <c r="Q17" i="2" s="1"/>
  <c r="N20" i="2"/>
  <c r="Q20" i="2" s="1"/>
  <c r="N18" i="2"/>
  <c r="Q18" i="2" s="1"/>
  <c r="N21" i="2"/>
  <c r="Q21" i="2" s="1"/>
  <c r="M23" i="2" l="1"/>
  <c r="N23" i="2" s="1"/>
  <c r="Q23" i="2" s="1"/>
  <c r="J24" i="2"/>
  <c r="J43" i="2"/>
  <c r="M43" i="2" s="1"/>
  <c r="R36" i="2"/>
  <c r="T36" i="2"/>
  <c r="L24" i="2"/>
  <c r="N19" i="2"/>
  <c r="Q19" i="2" s="1"/>
  <c r="R20" i="2" s="1"/>
  <c r="T21" i="2"/>
  <c r="R21" i="2"/>
  <c r="R22" i="2"/>
  <c r="T18" i="2"/>
  <c r="R18" i="2"/>
  <c r="R17" i="2"/>
  <c r="T17" i="2"/>
  <c r="T22" i="2"/>
  <c r="T19" i="2" l="1"/>
  <c r="J25" i="2"/>
  <c r="J44" i="2"/>
  <c r="M44" i="2" s="1"/>
  <c r="M24" i="2"/>
  <c r="N24" i="2" s="1"/>
  <c r="Q24" i="2" s="1"/>
  <c r="L25" i="2"/>
  <c r="N37" i="2"/>
  <c r="R19" i="2"/>
  <c r="T20" i="2"/>
  <c r="T23" i="2"/>
  <c r="R23" i="2"/>
  <c r="N38" i="2"/>
  <c r="M25" i="2" l="1"/>
  <c r="N25" i="2" s="1"/>
  <c r="Q25" i="2" s="1"/>
  <c r="J26" i="2"/>
  <c r="J45" i="2"/>
  <c r="M45" i="2" s="1"/>
  <c r="T37" i="2"/>
  <c r="R37" i="2"/>
  <c r="L26" i="2"/>
  <c r="T38" i="2"/>
  <c r="R38" i="2"/>
  <c r="T24" i="2"/>
  <c r="R24" i="2"/>
  <c r="N39" i="2"/>
  <c r="J27" i="2" l="1"/>
  <c r="J47" i="2" s="1"/>
  <c r="J46" i="2"/>
  <c r="M46" i="2" s="1"/>
  <c r="M26" i="2"/>
  <c r="N26" i="2" s="1"/>
  <c r="Q26" i="2" s="1"/>
  <c r="L27" i="2"/>
  <c r="T39" i="2"/>
  <c r="R39" i="2"/>
  <c r="T25" i="2"/>
  <c r="R25" i="2"/>
  <c r="N40" i="2"/>
  <c r="M47" i="2" l="1"/>
  <c r="M27" i="2"/>
  <c r="N27" i="2" s="1"/>
  <c r="Q27" i="2" s="1"/>
  <c r="T40" i="2"/>
  <c r="R40" i="2"/>
  <c r="T26" i="2"/>
  <c r="R26" i="2"/>
  <c r="N41" i="2"/>
  <c r="N42" i="2"/>
  <c r="T42" i="2" l="1"/>
  <c r="R42" i="2"/>
  <c r="T41" i="2"/>
  <c r="R41" i="2"/>
  <c r="T27" i="2"/>
  <c r="R27" i="2"/>
  <c r="N43" i="2" l="1"/>
  <c r="T43" i="2" l="1"/>
  <c r="R43" i="2"/>
  <c r="N44" i="2"/>
  <c r="T44" i="2" l="1"/>
  <c r="R44" i="2"/>
  <c r="N45" i="2"/>
  <c r="T45" i="2" l="1"/>
  <c r="R45" i="2"/>
  <c r="N46" i="2"/>
  <c r="N47" i="2"/>
  <c r="T29" i="2"/>
  <c r="T47" i="2" l="1"/>
  <c r="R47" i="2"/>
  <c r="T46" i="2"/>
  <c r="R46" i="2"/>
  <c r="T49" i="2" l="1"/>
</calcChain>
</file>

<file path=xl/sharedStrings.xml><?xml version="1.0" encoding="utf-8"?>
<sst xmlns="http://schemas.openxmlformats.org/spreadsheetml/2006/main" count="231" uniqueCount="129">
  <si>
    <t>Maand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</si>
  <si>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</si>
  <si>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</si>
  <si>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</si>
  <si>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</si>
  <si>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</si>
  <si>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</si>
  <si>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</si>
  <si>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</si>
  <si>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</si>
  <si>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</si>
  <si>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</si>
  <si>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</si>
  <si>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Totaal</t>
  </si>
  <si>
    <t>Franchise AP</t>
  </si>
  <si>
    <t>Premie % AP</t>
  </si>
  <si>
    <t>Start datum</t>
  </si>
  <si>
    <t>Maand getal</t>
  </si>
  <si>
    <t>Normuren per maand</t>
  </si>
  <si>
    <t>DTF</t>
  </si>
  <si>
    <t>Geboortedatum dlnr</t>
  </si>
  <si>
    <t>Leeftijd</t>
  </si>
  <si>
    <t>Afgerond leeftijd</t>
  </si>
  <si>
    <t>Bedrag AP</t>
  </si>
  <si>
    <t>Invoer</t>
  </si>
  <si>
    <t>Einddatum</t>
  </si>
  <si>
    <t>Looptijd</t>
  </si>
  <si>
    <t>Gewogen salaris</t>
  </si>
  <si>
    <t>Fultime salaris bij ziekte berekenen</t>
  </si>
  <si>
    <t>Gewogen salaris:</t>
  </si>
  <si>
    <t>FT jaar salaris per 1-1</t>
  </si>
  <si>
    <t>Korting</t>
  </si>
  <si>
    <t>Max FT PG cumulatief</t>
  </si>
  <si>
    <t>Max PT PG cumulatief</t>
  </si>
  <si>
    <t xml:space="preserve">PG Gemaximeerd </t>
  </si>
  <si>
    <t xml:space="preserve">PT jaar Franchise Cumulatief </t>
  </si>
  <si>
    <t>AP premie</t>
  </si>
  <si>
    <t>Versie</t>
  </si>
  <si>
    <t>Datum</t>
  </si>
  <si>
    <t>Wijzigingen</t>
  </si>
  <si>
    <t>1.3</t>
  </si>
  <si>
    <t>Tekstueel: Maximaal Salaris --&gt; Maximaal Pensioengevend Salaris</t>
  </si>
  <si>
    <t>Tekstueel: Gewerkte uren --&gt; Verloonde uren voor pensioen</t>
  </si>
  <si>
    <t>Formule: &lt;4-weken&gt; Totaal premie (T30) (T16:T27) --&gt; (T16:T28)</t>
  </si>
  <si>
    <t>Formule: &lt;4-weken&gt; Aanwas/12 --&gt; Aanwas/13</t>
  </si>
  <si>
    <t>Formule: &lt;4-weken&gt; DTF som(C16:C27) --&gt; Som(C16:C28)</t>
  </si>
  <si>
    <t>Formule: &lt;4-weken&gt; Norm periode som(C16:C27) --&gt; Som(C16:C28)</t>
  </si>
  <si>
    <t>Eerste dag periode</t>
  </si>
  <si>
    <t>periode getal</t>
  </si>
  <si>
    <t>Samenvoegen Maand en 4-weken in 1 sheet/2 tabbladen</t>
  </si>
  <si>
    <t>1.4</t>
  </si>
  <si>
    <t>Regelingloon</t>
  </si>
  <si>
    <t>Normuren per 4-weken</t>
  </si>
  <si>
    <t>4-weken ORT</t>
  </si>
  <si>
    <t>Premie</t>
  </si>
  <si>
    <t xml:space="preserve">FT Jaar Franchise Cumulatief </t>
  </si>
  <si>
    <t>formule "PG (ongemaximeerd) Cumulatief incl. negatief": ORT NIET maal (dagen deelneming (volgens tieland) / 30)</t>
  </si>
  <si>
    <t>1.41</t>
  </si>
  <si>
    <t>Aanpassing versie 1.4 teruggedraait en formule Jaar ORT aangepast, In gebroken maanden wordt de ORT eerst omgerekend naar hele maanden vervolgens op jaarbasis</t>
  </si>
  <si>
    <t>Datum aanvang deelneming</t>
  </si>
  <si>
    <t>Datum einde deelneming</t>
  </si>
  <si>
    <t>Franchise OP/NP</t>
  </si>
  <si>
    <t>Maximum pensioengevend salaris</t>
  </si>
  <si>
    <t>Premie % OP/OP</t>
  </si>
  <si>
    <t>Genormeerd aantal dagen deelneming</t>
  </si>
  <si>
    <t>Verloonde uren voor regeling</t>
  </si>
  <si>
    <t>Normuren deelneming</t>
  </si>
  <si>
    <t>Deeltijd regelingloon cumulatief</t>
  </si>
  <si>
    <t>Maandbedrag ORT</t>
  </si>
  <si>
    <t>Jaarbedrag ORT</t>
  </si>
  <si>
    <t>Definitieve deeltijdfactor</t>
  </si>
  <si>
    <t>Aanwas pensioengrondslag</t>
  </si>
  <si>
    <t>Deeltijd PG (ongemaximeerd) Cumulatief incl. negatief</t>
  </si>
  <si>
    <t>Deeltijd PG (ongemaximeerd) Cumulatief</t>
  </si>
  <si>
    <t>Deeltijd PG Cumulatief incl. negatief</t>
  </si>
  <si>
    <t>Deeltijd PG Cumulatief</t>
  </si>
  <si>
    <t>OP/NP premie</t>
  </si>
  <si>
    <t>Jaarbedrag ORT Cumulatief</t>
  </si>
  <si>
    <t>Blad "gewogen salaris" cell F26: uitkomst afronden in gehele euro's</t>
  </si>
  <si>
    <t>1.5</t>
  </si>
  <si>
    <t>2017 parameters toegevoegd</t>
  </si>
  <si>
    <t>Tijdvak</t>
  </si>
  <si>
    <t>Tijdvakcode</t>
  </si>
  <si>
    <t>Ingangsdatum</t>
  </si>
  <si>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</si>
  <si>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</si>
  <si>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</si>
  <si>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</si>
  <si>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</si>
  <si>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</si>
  <si>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</si>
  <si>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</si>
  <si>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</si>
  <si>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</si>
  <si>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Periode 11</t>
  </si>
  <si>
    <t>Periode 12</t>
  </si>
  <si>
    <t>Periode 13</t>
  </si>
  <si>
    <t>1.51</t>
  </si>
  <si>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</si>
  <si>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</si>
  <si>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</si>
  <si>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</si>
  <si>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</si>
  <si>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</si>
  <si>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</si>
  <si>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</si>
  <si>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</si>
  <si>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</si>
  <si>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</si>
  <si>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</si>
  <si>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Uiterste aangiftedatum PFZW</t>
  </si>
  <si>
    <t>Waarden: Tijdvakken 4-weken 2017 (+ tabblad Tijdvakken); 
Formule: normuren per tijdvak (B6) worden overgenomen per tijdvak (E16:E28); 
Waarden: bij 4-weken is normuren per week o.b.v. 36 u/wk is 144u p. tijdvak (i.p.v. 160); 
Waarden: voorbeeld gewogen salaris aangepast naar 2017; 
Formule: waarden overnemen regelingloon per tijdvak (G16:G27); 
Formule: Waarden overnemen ORT (I37:I38)</t>
  </si>
  <si>
    <t>zo 1 januari tot en met zo 29 januari</t>
  </si>
  <si>
    <t>ma 30 januari tot en met zo 26 februari</t>
  </si>
  <si>
    <t>ma 27 februari tot en met zo 26 maart</t>
  </si>
  <si>
    <t>ma 27 maart tot en met zo 23 april</t>
  </si>
  <si>
    <t>ma 24 april tot en met zo 21 mei</t>
  </si>
  <si>
    <t>ma 22 mei tot en met zo 18 juni</t>
  </si>
  <si>
    <t>ma 19 juni tot en met zo 16 juli</t>
  </si>
  <si>
    <t>ma 17 juli tot en met zo 13 augustus</t>
  </si>
  <si>
    <t>ma 14 augustus tot en met zo 10 september</t>
  </si>
  <si>
    <t>ma 11 september tot en met zo 8 oktober</t>
  </si>
  <si>
    <t>ma 9 oktober tot en met zo 5 november</t>
  </si>
  <si>
    <t>ma 6 november tot en met zo 3 december</t>
  </si>
  <si>
    <t>ma 4 december tot en met zo 31 december</t>
  </si>
  <si>
    <t>Loontijdvak</t>
  </si>
  <si>
    <t>Aangiftetijdvak</t>
  </si>
  <si>
    <r>
      <rPr>
        <sz val="9.5"/>
        <color rgb="FFFF0000"/>
        <rFont val="Verdana"/>
        <family val="2"/>
      </rPr>
      <t>ma 2 januari</t>
    </r>
    <r>
      <rPr>
        <sz val="9.5"/>
        <color rgb="FF000000"/>
        <rFont val="Verdana"/>
        <family val="2"/>
      </rPr>
      <t xml:space="preserve"> tot en met zo 29 januari</t>
    </r>
  </si>
  <si>
    <t>Bereken gewogen salaris per maand of per 4 weken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</si>
</sst>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%"/>
    <numFmt numFmtId="165" formatCode="&quot;€&quot;\ #,##0.00"/>
    <numFmt numFmtId="166" formatCode="0.000%"/>
    <numFmt numFmtId="167" formatCode="_ &quot;€&quot;\ * #,##0_ ;_ &quot;€&quot;\ * \-#,##0_ ;_ &quot;€&quot;\ * &quot;-&quot;??_ ;_ @_ "/>
    <numFmt numFmtId="168" formatCode="_ * #,##0.00000_ ;_ * \-#,##0.00000_ ;_ * &quot;-&quot;??_ ;_ @_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7"/>
      <color indexed="12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9.5"/>
      <color rgb="FF000000"/>
      <name val="Verdana"/>
      <family val="2"/>
    </font>
    <font>
      <sz val="9.5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57">
    <xf numFmtId="0" fontId="0" fillId="0" borderId="0" xfId="0"/>
    <xf numFmtId="0" fontId="1" fillId="0" borderId="0" xfId="0" applyFont="1"/>
    <xf numFmtId="0" fontId="1" fillId="0" borderId="11" xfId="0" applyFont="1" applyBorder="1"/>
    <xf numFmtId="0" fontId="1" fillId="0" borderId="12" xfId="0" applyFont="1" applyBorder="1"/>
    <xf numFmtId="14" fontId="0" fillId="4" borderId="13" xfId="0" applyNumberFormat="1" applyFill="1" applyBorder="1"/>
    <xf numFmtId="14" fontId="1" fillId="4" borderId="13" xfId="0" applyNumberFormat="1" applyFont="1" applyFill="1" applyBorder="1"/>
    <xf numFmtId="0" fontId="0" fillId="0" borderId="0" xfId="0"/>
    <xf numFmtId="0" fontId="0" fillId="0" borderId="8" xfId="0" applyBorder="1"/>
    <xf numFmtId="44" fontId="0" fillId="0" borderId="8" xfId="0" applyNumberFormat="1" applyFont="1" applyBorder="1" applyAlignment="1"/>
    <xf numFmtId="0" fontId="1" fillId="0" borderId="0" xfId="0" applyFont="1" applyFill="1"/>
    <xf numFmtId="165" fontId="1" fillId="0" borderId="1" xfId="0" applyNumberFormat="1" applyFont="1" applyBorder="1" applyAlignment="1">
      <alignment horizontal="left"/>
    </xf>
    <xf numFmtId="0" fontId="1" fillId="0" borderId="10" xfId="0" applyFont="1" applyBorder="1"/>
    <xf numFmtId="0" fontId="1" fillId="5" borderId="4" xfId="0" applyFont="1" applyFill="1" applyBorder="1"/>
    <xf numFmtId="0" fontId="1" fillId="5" borderId="10" xfId="0" applyFont="1" applyFill="1" applyBorder="1"/>
    <xf numFmtId="0" fontId="1" fillId="5" borderId="5" xfId="0" applyFont="1" applyFill="1" applyBorder="1"/>
    <xf numFmtId="44" fontId="0" fillId="4" borderId="5" xfId="0" applyNumberFormat="1" applyFill="1" applyBorder="1"/>
    <xf numFmtId="44" fontId="0" fillId="5" borderId="8" xfId="0" applyNumberFormat="1" applyFill="1" applyBorder="1"/>
    <xf numFmtId="14" fontId="0" fillId="4" borderId="3" xfId="0" applyNumberFormat="1" applyFill="1" applyBorder="1"/>
    <xf numFmtId="0" fontId="0" fillId="4" borderId="3" xfId="0" applyFill="1" applyBorder="1"/>
    <xf numFmtId="0" fontId="0" fillId="4" borderId="2" xfId="0" applyFill="1" applyBorder="1"/>
    <xf numFmtId="14" fontId="0" fillId="4" borderId="14" xfId="0" applyNumberFormat="1" applyFill="1" applyBorder="1"/>
    <xf numFmtId="44" fontId="0" fillId="0" borderId="15" xfId="0" applyNumberFormat="1" applyBorder="1"/>
    <xf numFmtId="14" fontId="0" fillId="4" borderId="11" xfId="0" applyNumberFormat="1" applyFill="1" applyBorder="1"/>
    <xf numFmtId="44" fontId="0" fillId="0" borderId="9" xfId="0" applyNumberFormat="1" applyBorder="1"/>
    <xf numFmtId="0" fontId="0" fillId="4" borderId="11" xfId="0" applyFill="1" applyBorder="1"/>
    <xf numFmtId="0" fontId="0" fillId="4" borderId="12" xfId="0" applyFill="1" applyBorder="1"/>
    <xf numFmtId="44" fontId="0" fillId="0" borderId="8" xfId="0" applyNumberFormat="1" applyBorder="1"/>
    <xf numFmtId="9" fontId="0" fillId="4" borderId="13" xfId="0" applyNumberFormat="1" applyFill="1" applyBorder="1"/>
    <xf numFmtId="9" fontId="0" fillId="4" borderId="3" xfId="0" applyNumberFormat="1" applyFill="1" applyBorder="1"/>
    <xf numFmtId="0" fontId="0" fillId="0" borderId="13" xfId="0" applyNumberFormat="1" applyBorder="1"/>
    <xf numFmtId="0" fontId="0" fillId="0" borderId="3" xfId="0" applyNumberFormat="1" applyBorder="1"/>
    <xf numFmtId="0" fontId="0" fillId="0" borderId="2" xfId="0" applyNumberFormat="1" applyBorder="1"/>
    <xf numFmtId="0" fontId="4" fillId="0" borderId="0" xfId="0" applyFont="1" applyFill="1" applyBorder="1"/>
    <xf numFmtId="44" fontId="5" fillId="0" borderId="0" xfId="0" applyNumberFormat="1" applyFont="1" applyFill="1" applyBorder="1"/>
    <xf numFmtId="0" fontId="5" fillId="0" borderId="0" xfId="0" applyFont="1" applyFill="1" applyBorder="1"/>
    <xf numFmtId="0" fontId="5" fillId="0" borderId="1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Fill="1"/>
    <xf numFmtId="14" fontId="7" fillId="0" borderId="0" xfId="0" applyNumberFormat="1" applyFont="1" applyFill="1"/>
    <xf numFmtId="0" fontId="7" fillId="0" borderId="0" xfId="0" applyNumberFormat="1" applyFont="1" applyFill="1" applyBorder="1"/>
    <xf numFmtId="0" fontId="7" fillId="0" borderId="0" xfId="0" applyNumberFormat="1" applyFont="1" applyFill="1"/>
    <xf numFmtId="0" fontId="8" fillId="0" borderId="0" xfId="0" applyFont="1" applyFill="1"/>
    <xf numFmtId="10" fontId="7" fillId="0" borderId="0" xfId="0" applyNumberFormat="1" applyFont="1"/>
    <xf numFmtId="165" fontId="7" fillId="0" borderId="0" xfId="0" applyNumberFormat="1" applyFont="1" applyFill="1" applyBorder="1"/>
    <xf numFmtId="165" fontId="1" fillId="5" borderId="1" xfId="0" applyNumberFormat="1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/>
    </xf>
    <xf numFmtId="167" fontId="0" fillId="4" borderId="1" xfId="2" applyNumberFormat="1" applyFont="1" applyFill="1" applyBorder="1" applyAlignment="1">
      <alignment vertical="center"/>
    </xf>
    <xf numFmtId="0" fontId="0" fillId="7" borderId="0" xfId="0" applyFill="1"/>
    <xf numFmtId="0" fontId="0" fillId="7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Border="1"/>
    <xf numFmtId="0" fontId="0" fillId="0" borderId="0" xfId="0" applyFont="1"/>
    <xf numFmtId="0" fontId="0" fillId="0" borderId="13" xfId="0" applyFont="1" applyBorder="1" applyAlignment="1"/>
    <xf numFmtId="44" fontId="0" fillId="0" borderId="15" xfId="0" applyNumberFormat="1" applyFont="1" applyBorder="1" applyAlignment="1"/>
    <xf numFmtId="0" fontId="0" fillId="0" borderId="3" xfId="0" applyFont="1" applyBorder="1" applyAlignment="1"/>
    <xf numFmtId="44" fontId="0" fillId="0" borderId="9" xfId="0" applyNumberFormat="1" applyFont="1" applyBorder="1" applyAlignment="1"/>
    <xf numFmtId="0" fontId="0" fillId="0" borderId="0" xfId="0" applyFont="1" applyFill="1"/>
    <xf numFmtId="7" fontId="0" fillId="0" borderId="0" xfId="0" applyNumberFormat="1" applyFont="1"/>
    <xf numFmtId="0" fontId="0" fillId="0" borderId="0" xfId="0" applyFont="1" applyBorder="1"/>
    <xf numFmtId="0" fontId="0" fillId="0" borderId="2" xfId="0" applyFont="1" applyBorder="1" applyAlignment="1"/>
    <xf numFmtId="0" fontId="0" fillId="0" borderId="1" xfId="0" applyFont="1" applyBorder="1"/>
    <xf numFmtId="4" fontId="0" fillId="0" borderId="0" xfId="0" applyNumberFormat="1" applyFont="1" applyFill="1" applyBorder="1" applyAlignment="1">
      <alignment vertical="center"/>
    </xf>
    <xf numFmtId="4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3" borderId="1" xfId="0" applyFont="1" applyFill="1" applyBorder="1" applyAlignment="1">
      <alignment horizontal="left" vertical="center"/>
    </xf>
    <xf numFmtId="44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horizontal="left" vertical="center"/>
    </xf>
    <xf numFmtId="4" fontId="0" fillId="0" borderId="0" xfId="0" applyNumberFormat="1" applyFont="1" applyFill="1" applyAlignment="1">
      <alignment vertical="center"/>
    </xf>
    <xf numFmtId="0" fontId="0" fillId="0" borderId="1" xfId="0" applyFont="1" applyBorder="1" applyAlignment="1">
      <alignment horizontal="left"/>
    </xf>
    <xf numFmtId="7" fontId="0" fillId="0" borderId="1" xfId="0" applyNumberFormat="1" applyFont="1" applyBorder="1" applyAlignment="1">
      <alignment horizontal="left"/>
    </xf>
    <xf numFmtId="4" fontId="0" fillId="0" borderId="1" xfId="0" applyNumberFormat="1" applyFon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44" fontId="0" fillId="0" borderId="0" xfId="0" applyNumberFormat="1" applyFont="1"/>
    <xf numFmtId="0" fontId="0" fillId="6" borderId="1" xfId="0" applyFont="1" applyFill="1" applyBorder="1"/>
    <xf numFmtId="0" fontId="0" fillId="6" borderId="1" xfId="0" applyFont="1" applyFill="1" applyBorder="1" applyAlignment="1">
      <alignment horizontal="left"/>
    </xf>
    <xf numFmtId="4" fontId="0" fillId="6" borderId="1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14" fontId="8" fillId="4" borderId="3" xfId="0" applyNumberFormat="1" applyFont="1" applyFill="1" applyBorder="1" applyAlignment="1">
      <alignment horizontal="right" wrapText="1"/>
    </xf>
    <xf numFmtId="14" fontId="8" fillId="0" borderId="0" xfId="0" applyNumberFormat="1" applyFont="1" applyFill="1" applyBorder="1" applyAlignment="1">
      <alignment horizontal="right" wrapText="1"/>
    </xf>
    <xf numFmtId="0" fontId="8" fillId="2" borderId="10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0" fontId="8" fillId="2" borderId="10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right" wrapText="1"/>
    </xf>
    <xf numFmtId="0" fontId="8" fillId="0" borderId="2" xfId="0" applyFont="1" applyFill="1" applyBorder="1" applyAlignment="1">
      <alignment horizontal="right" wrapText="1"/>
    </xf>
    <xf numFmtId="0" fontId="8" fillId="0" borderId="8" xfId="0" applyFont="1" applyFill="1" applyBorder="1" applyAlignment="1">
      <alignment horizontal="right" wrapText="1"/>
    </xf>
    <xf numFmtId="44" fontId="8" fillId="4" borderId="3" xfId="0" applyNumberFormat="1" applyFont="1" applyFill="1" applyBorder="1" applyAlignment="1">
      <alignment horizontal="right" wrapText="1"/>
    </xf>
    <xf numFmtId="0" fontId="8" fillId="4" borderId="3" xfId="0" applyNumberFormat="1" applyFont="1" applyFill="1" applyBorder="1" applyAlignment="1">
      <alignment horizontal="right" wrapText="1"/>
    </xf>
    <xf numFmtId="44" fontId="8" fillId="0" borderId="3" xfId="0" applyNumberFormat="1" applyFont="1" applyFill="1" applyBorder="1" applyAlignment="1">
      <alignment horizontal="right" wrapText="1"/>
    </xf>
    <xf numFmtId="44" fontId="8" fillId="0" borderId="0" xfId="0" applyNumberFormat="1" applyFont="1" applyFill="1" applyBorder="1" applyAlignment="1">
      <alignment horizontal="right" wrapText="1"/>
    </xf>
    <xf numFmtId="164" fontId="8" fillId="0" borderId="3" xfId="0" applyNumberFormat="1" applyFont="1" applyFill="1" applyBorder="1" applyAlignment="1">
      <alignment horizontal="right" wrapText="1"/>
    </xf>
    <xf numFmtId="0" fontId="8" fillId="0" borderId="0" xfId="0" applyNumberFormat="1" applyFont="1" applyFill="1" applyBorder="1" applyAlignment="1">
      <alignment horizontal="right" wrapText="1"/>
    </xf>
    <xf numFmtId="164" fontId="8" fillId="0" borderId="2" xfId="0" applyNumberFormat="1" applyFont="1" applyFill="1" applyBorder="1" applyAlignment="1">
      <alignment horizontal="right" wrapText="1"/>
    </xf>
    <xf numFmtId="164" fontId="8" fillId="0" borderId="0" xfId="0" applyNumberFormat="1" applyFont="1" applyFill="1" applyBorder="1" applyAlignment="1">
      <alignment horizontal="right" wrapText="1"/>
    </xf>
    <xf numFmtId="0" fontId="1" fillId="5" borderId="4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1" fillId="5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horizontal="left" wrapText="1"/>
    </xf>
    <xf numFmtId="4" fontId="8" fillId="2" borderId="6" xfId="0" applyNumberFormat="1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right" wrapText="1"/>
    </xf>
    <xf numFmtId="14" fontId="8" fillId="4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0" fontId="7" fillId="0" borderId="1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14" fontId="8" fillId="3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/>
    </xf>
    <xf numFmtId="4" fontId="8" fillId="2" borderId="1" xfId="0" applyNumberFormat="1" applyFont="1" applyFill="1" applyBorder="1" applyAlignment="1">
      <alignment horizontal="left"/>
    </xf>
    <xf numFmtId="165" fontId="8" fillId="5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 wrapText="1"/>
    </xf>
    <xf numFmtId="0" fontId="8" fillId="6" borderId="1" xfId="0" applyFont="1" applyFill="1" applyBorder="1" applyAlignment="1">
      <alignment horizontal="right" wrapText="1"/>
    </xf>
    <xf numFmtId="167" fontId="7" fillId="0" borderId="1" xfId="2" applyNumberFormat="1" applyFont="1" applyFill="1" applyBorder="1" applyAlignment="1">
      <alignment horizontal="left" vertical="center"/>
    </xf>
    <xf numFmtId="166" fontId="7" fillId="0" borderId="1" xfId="0" applyNumberFormat="1" applyFont="1" applyFill="1" applyBorder="1" applyAlignment="1">
      <alignment horizontal="left" vertical="center"/>
    </xf>
    <xf numFmtId="44" fontId="7" fillId="0" borderId="1" xfId="0" applyNumberFormat="1" applyFont="1" applyFill="1" applyBorder="1" applyAlignment="1">
      <alignment horizontal="left" vertical="center"/>
    </xf>
    <xf numFmtId="44" fontId="7" fillId="3" borderId="1" xfId="0" applyNumberFormat="1" applyFont="1" applyFill="1" applyBorder="1" applyAlignment="1">
      <alignment horizontal="left" vertical="center"/>
    </xf>
    <xf numFmtId="14" fontId="0" fillId="0" borderId="0" xfId="0" applyNumberFormat="1" applyFont="1" applyFill="1"/>
    <xf numFmtId="44" fontId="0" fillId="0" borderId="1" xfId="2" applyNumberFormat="1" applyFont="1" applyFill="1" applyBorder="1" applyAlignment="1">
      <alignment horizontal="left" vertical="center"/>
    </xf>
    <xf numFmtId="44" fontId="0" fillId="0" borderId="1" xfId="0" applyNumberFormat="1" applyFont="1" applyBorder="1" applyAlignment="1">
      <alignment horizontal="left"/>
    </xf>
    <xf numFmtId="44" fontId="8" fillId="2" borderId="1" xfId="0" applyNumberFormat="1" applyFont="1" applyFill="1" applyBorder="1" applyAlignment="1">
      <alignment horizontal="left"/>
    </xf>
    <xf numFmtId="44" fontId="1" fillId="5" borderId="7" xfId="0" applyNumberFormat="1" applyFont="1" applyFill="1" applyBorder="1" applyAlignment="1">
      <alignment vertical="center"/>
    </xf>
    <xf numFmtId="44" fontId="7" fillId="0" borderId="1" xfId="2" applyNumberFormat="1" applyFont="1" applyFill="1" applyBorder="1" applyAlignment="1">
      <alignment horizontal="left" vertical="center"/>
    </xf>
    <xf numFmtId="44" fontId="0" fillId="4" borderId="1" xfId="2" applyNumberFormat="1" applyFont="1" applyFill="1" applyBorder="1" applyAlignment="1">
      <alignment vertical="center"/>
    </xf>
    <xf numFmtId="44" fontId="0" fillId="0" borderId="1" xfId="0" applyNumberFormat="1" applyFont="1" applyFill="1" applyBorder="1" applyAlignment="1">
      <alignment horizontal="left" vertical="center"/>
    </xf>
    <xf numFmtId="44" fontId="8" fillId="0" borderId="1" xfId="0" applyNumberFormat="1" applyFont="1" applyFill="1" applyBorder="1" applyAlignment="1">
      <alignment horizontal="left" wrapText="1"/>
    </xf>
    <xf numFmtId="168" fontId="7" fillId="0" borderId="1" xfId="3" applyNumberFormat="1" applyFont="1" applyFill="1" applyBorder="1" applyAlignment="1">
      <alignment horizontal="left" vertical="center"/>
    </xf>
    <xf numFmtId="44" fontId="0" fillId="0" borderId="0" xfId="0" applyNumberFormat="1"/>
    <xf numFmtId="14" fontId="7" fillId="0" borderId="0" xfId="0" applyNumberFormat="1" applyFont="1" applyFill="1" applyBorder="1"/>
    <xf numFmtId="0" fontId="10" fillId="0" borderId="17" xfId="0" applyFont="1" applyBorder="1" applyAlignment="1">
      <alignment vertical="top" wrapText="1"/>
    </xf>
    <xf numFmtId="14" fontId="10" fillId="0" borderId="17" xfId="0" applyNumberFormat="1" applyFont="1" applyBorder="1" applyAlignment="1">
      <alignment vertical="top" wrapText="1"/>
    </xf>
    <xf numFmtId="0" fontId="9" fillId="0" borderId="18" xfId="0" applyFont="1" applyBorder="1" applyAlignment="1">
      <alignment horizontal="left" vertical="center" wrapText="1" indent="1"/>
    </xf>
    <xf numFmtId="0" fontId="9" fillId="0" borderId="19" xfId="0" applyFont="1" applyBorder="1" applyAlignment="1">
      <alignment horizontal="left" vertical="center" wrapText="1"/>
    </xf>
    <xf numFmtId="0" fontId="10" fillId="0" borderId="20" xfId="0" applyFont="1" applyBorder="1" applyAlignment="1">
      <alignment vertical="top" wrapText="1"/>
    </xf>
    <xf numFmtId="0" fontId="9" fillId="0" borderId="18" xfId="0" applyFont="1" applyBorder="1" applyAlignment="1">
      <alignment horizontal="left" vertical="center" wrapText="1" indent="2"/>
    </xf>
    <xf numFmtId="0" fontId="9" fillId="0" borderId="19" xfId="0" applyFont="1" applyBorder="1" applyAlignment="1">
      <alignment horizontal="left" vertical="center" wrapText="1" inden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1" fillId="0" borderId="0" xfId="0" applyFont="1"/>
    <xf numFmtId="0" fontId="13" fillId="4" borderId="0" xfId="0" applyFont="1" applyFill="1" applyAlignment="1">
      <alignment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</cellXfs>
  <cellStyles count="4">
    <cellStyle name="Hyperlink 2" xfId="1" xr:uid="{00000000-0005-0000-0000-000000000000}"/>
    <cellStyle name="Komma" xfId="3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06/relationships/vbaProject" Target="vbaProject.bin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M49"/>
  <sheetViews>
    <sheetView showGridLines="0" tabSelected="1" topLeftCell="A13" zoomScaleNormal="100" workbookViewId="0">
      <selection activeCell="J16" sqref="J16"/>
    </sheetView>
  </sheetViews>
  <sheetFormatPr defaultColWidth="0" defaultRowHeight="15" x14ac:dyDescent="0.25"/>
  <cols>
    <col min="1" max="1" width="34.28515625" style="52" bestFit="1" customWidth="1"/>
    <col min="2" max="2" width="12.85546875" style="52" bestFit="1" customWidth="1"/>
    <col min="3" max="3" width="12.85546875" style="52" customWidth="1"/>
    <col min="4" max="6" width="11.85546875" style="52" bestFit="1" customWidth="1"/>
    <col min="7" max="7" width="15.42578125" style="52" bestFit="1" customWidth="1"/>
    <col min="8" max="8" width="14.140625" style="52" customWidth="1"/>
    <col min="9" max="9" width="15.7109375" style="52" bestFit="1" customWidth="1"/>
    <col min="10" max="10" width="26" style="52" customWidth="1"/>
    <col min="11" max="11" width="16.5703125" style="52" customWidth="1"/>
    <col min="12" max="12" width="12.85546875" style="52" customWidth="1"/>
    <col min="13" max="14" width="18.140625" style="52" customWidth="1"/>
    <col min="15" max="15" width="14.5703125" style="52" customWidth="1"/>
    <col min="16" max="16" width="14.140625" style="52" customWidth="1"/>
    <col min="17" max="17" width="17.42578125" style="52" customWidth="1"/>
    <col min="18" max="18" width="18.28515625" style="52" customWidth="1"/>
    <col min="19" max="19" width="3" style="52" customWidth="1"/>
    <col min="20" max="20" width="12.42578125" style="52" customWidth="1"/>
    <col min="21" max="21" width="12" style="52" customWidth="1"/>
    <col min="22" max="22" width="11.42578125" style="52" hidden="1" customWidth="1"/>
    <col min="23" max="23" width="11.5703125" style="52" hidden="1" customWidth="1"/>
    <col min="24" max="24" width="16.28515625" style="52" hidden="1" customWidth="1"/>
    <col min="25" max="25" width="9.140625" style="52" hidden="1" customWidth="1"/>
    <col min="26" max="26" width="7.85546875" style="52" hidden="1" customWidth="1"/>
    <col min="27" max="39" width="11.42578125" style="52" hidden="1" customWidth="1"/>
    <col min="40" max="16384" width="9.140625" style="52" hidden="1"/>
  </cols>
  <sheetData>
    <row r="1" spans="1:27" ht="15.75" thickBot="1" x14ac:dyDescent="0.3">
      <c r="A1" s="152" t="s">
        <v>24</v>
      </c>
      <c r="B1" s="153"/>
      <c r="C1" s="78"/>
      <c r="D1" s="39"/>
      <c r="E1" s="39"/>
      <c r="F1" s="39"/>
      <c r="G1" s="39"/>
      <c r="H1" s="39"/>
      <c r="I1" s="39"/>
      <c r="J1" s="39"/>
      <c r="K1" s="39"/>
      <c r="L1" s="78"/>
      <c r="M1" s="78"/>
      <c r="N1" s="78"/>
      <c r="O1" s="78"/>
      <c r="P1" s="78"/>
      <c r="Q1" s="78"/>
      <c r="R1" s="78"/>
      <c r="S1" s="78"/>
      <c r="T1" s="78"/>
      <c r="U1" s="51"/>
    </row>
    <row r="2" spans="1:27" ht="15.75" thickBot="1" x14ac:dyDescent="0.3">
      <c r="A2" s="1" t="s">
        <v>20</v>
      </c>
      <c r="B2" s="5">
        <v>31413</v>
      </c>
      <c r="C2" s="36"/>
      <c r="D2" s="39"/>
      <c r="E2" s="135"/>
      <c r="F2" s="39"/>
      <c r="G2" s="39"/>
      <c r="H2" s="39"/>
      <c r="I2" s="39"/>
      <c r="J2" s="39"/>
      <c r="K2" s="39"/>
      <c r="L2" s="38"/>
      <c r="M2" s="57"/>
      <c r="N2" s="57"/>
    </row>
    <row r="3" spans="1:27" ht="15.75" customHeight="1" thickBot="1" x14ac:dyDescent="0.3">
      <c r="A3" s="2" t="s">
        <v>59</v>
      </c>
      <c r="B3" s="79">
        <v>42744</v>
      </c>
      <c r="C3" s="80"/>
      <c r="D3" s="39"/>
      <c r="E3" s="39"/>
      <c r="F3" s="39"/>
      <c r="G3" s="39"/>
      <c r="H3" s="39"/>
      <c r="I3" s="39"/>
      <c r="J3" s="39"/>
      <c r="K3" s="39"/>
      <c r="L3" s="40"/>
      <c r="M3" s="57"/>
      <c r="N3" s="57"/>
      <c r="W3" s="81" t="s">
        <v>21</v>
      </c>
      <c r="X3" s="82" t="s">
        <v>22</v>
      </c>
      <c r="Z3" s="83" t="s">
        <v>21</v>
      </c>
      <c r="AA3" s="84" t="s">
        <v>23</v>
      </c>
    </row>
    <row r="4" spans="1:27" ht="15.75" thickBot="1" x14ac:dyDescent="0.3">
      <c r="A4" s="2" t="s">
        <v>60</v>
      </c>
      <c r="B4" s="79"/>
      <c r="C4" s="85"/>
      <c r="D4" s="39"/>
      <c r="E4" s="39"/>
      <c r="F4" s="39"/>
      <c r="G4" s="39"/>
      <c r="H4" s="39"/>
      <c r="I4" s="39"/>
      <c r="J4" s="39"/>
      <c r="K4" s="39"/>
      <c r="L4" s="38"/>
      <c r="M4" s="124"/>
      <c r="N4" s="124"/>
      <c r="W4" s="86">
        <f>(YEAR(B3)-YEAR(B2))+((MONTH(B3)-MONTH(B2))/12)+((DAY(B3)-DAY(B2))/360)</f>
        <v>31.022222222222222</v>
      </c>
      <c r="X4" s="87">
        <f>ROUNDDOWN(W4,0)</f>
        <v>31</v>
      </c>
      <c r="Z4" s="53">
        <v>15</v>
      </c>
      <c r="AA4" s="54">
        <v>6032</v>
      </c>
    </row>
    <row r="5" spans="1:27" x14ac:dyDescent="0.25">
      <c r="A5" s="2" t="s">
        <v>51</v>
      </c>
      <c r="B5" s="88">
        <v>45000</v>
      </c>
      <c r="C5" s="85"/>
      <c r="D5" s="39"/>
      <c r="E5" s="39"/>
      <c r="F5" s="39"/>
      <c r="G5" s="39"/>
      <c r="H5" s="39"/>
      <c r="I5" s="39"/>
      <c r="J5" s="39"/>
      <c r="K5" s="39"/>
      <c r="L5" s="40"/>
      <c r="M5" s="124"/>
      <c r="N5" s="124"/>
      <c r="W5" s="85"/>
      <c r="X5" s="85"/>
      <c r="Z5" s="55"/>
      <c r="AA5" s="56"/>
    </row>
    <row r="6" spans="1:27" x14ac:dyDescent="0.25">
      <c r="A6" s="2" t="s">
        <v>18</v>
      </c>
      <c r="B6" s="89">
        <v>156</v>
      </c>
      <c r="C6" s="85"/>
      <c r="D6" s="39"/>
      <c r="E6" s="39"/>
      <c r="F6" s="39"/>
      <c r="G6" s="39"/>
      <c r="H6" s="39"/>
      <c r="I6" s="39"/>
      <c r="J6" s="39"/>
      <c r="K6" s="39"/>
      <c r="L6" s="40"/>
      <c r="M6" s="124"/>
      <c r="N6" s="124"/>
      <c r="W6" s="85"/>
      <c r="X6" s="85"/>
      <c r="Z6" s="55"/>
      <c r="AA6" s="56"/>
    </row>
    <row r="7" spans="1:27" x14ac:dyDescent="0.25">
      <c r="A7" s="2" t="s">
        <v>61</v>
      </c>
      <c r="B7" s="90">
        <v>11829</v>
      </c>
      <c r="C7" s="91"/>
      <c r="D7" s="39"/>
      <c r="E7" s="39"/>
      <c r="F7" s="39"/>
      <c r="G7" s="39"/>
      <c r="H7" s="43"/>
      <c r="I7" s="39"/>
      <c r="J7" s="39"/>
      <c r="K7" s="39"/>
      <c r="L7" s="40"/>
      <c r="M7" s="124"/>
      <c r="N7" s="124"/>
      <c r="Z7" s="55">
        <v>16</v>
      </c>
      <c r="AA7" s="56">
        <v>6937</v>
      </c>
    </row>
    <row r="8" spans="1:27" x14ac:dyDescent="0.25">
      <c r="A8" s="2" t="s">
        <v>14</v>
      </c>
      <c r="B8" s="90">
        <f>IFERROR(VLOOKUP(X4,Z4:AA13,2,FALSE),20108)</f>
        <v>20108</v>
      </c>
      <c r="C8" s="91"/>
      <c r="D8" s="39"/>
      <c r="E8" s="39"/>
      <c r="F8" s="43"/>
      <c r="G8" s="39"/>
      <c r="H8" s="39"/>
      <c r="I8" s="39"/>
      <c r="J8" s="39"/>
      <c r="K8" s="39"/>
      <c r="L8" s="41"/>
      <c r="M8" s="9"/>
      <c r="N8" s="9"/>
      <c r="O8" s="1"/>
      <c r="P8" s="1"/>
      <c r="Z8" s="55">
        <v>17</v>
      </c>
      <c r="AA8" s="56">
        <v>7943</v>
      </c>
    </row>
    <row r="9" spans="1:27" x14ac:dyDescent="0.25">
      <c r="A9" s="2" t="s">
        <v>62</v>
      </c>
      <c r="B9" s="90">
        <v>103317</v>
      </c>
      <c r="C9" s="91"/>
      <c r="D9" s="39"/>
      <c r="E9" s="39"/>
      <c r="F9" s="39"/>
      <c r="G9" s="39"/>
      <c r="H9" s="43"/>
      <c r="I9" s="39"/>
      <c r="J9" s="39"/>
      <c r="K9" s="39"/>
      <c r="L9" s="37"/>
      <c r="M9" s="57"/>
      <c r="N9" s="57"/>
      <c r="Z9" s="55">
        <v>18</v>
      </c>
      <c r="AA9" s="56">
        <v>9149</v>
      </c>
    </row>
    <row r="10" spans="1:27" x14ac:dyDescent="0.25">
      <c r="A10" s="2" t="s">
        <v>63</v>
      </c>
      <c r="B10" s="92">
        <v>0.23499999999999999</v>
      </c>
      <c r="C10" s="93"/>
      <c r="D10" s="39"/>
      <c r="E10" s="39"/>
      <c r="F10" s="39"/>
      <c r="G10" s="39"/>
      <c r="H10" s="39"/>
      <c r="I10" s="39"/>
      <c r="J10" s="39"/>
      <c r="K10" s="39"/>
      <c r="L10" s="42"/>
      <c r="Q10" s="58"/>
      <c r="R10" s="58"/>
      <c r="Z10" s="55">
        <v>19</v>
      </c>
      <c r="AA10" s="56">
        <v>10557</v>
      </c>
    </row>
    <row r="11" spans="1:27" ht="15.75" thickBot="1" x14ac:dyDescent="0.3">
      <c r="A11" s="3" t="s">
        <v>15</v>
      </c>
      <c r="B11" s="94">
        <v>5.0000000000000001E-3</v>
      </c>
      <c r="C11" s="95"/>
      <c r="D11" s="34"/>
      <c r="E11" s="34"/>
      <c r="F11" s="32"/>
      <c r="G11" s="34"/>
      <c r="H11" s="34"/>
      <c r="I11" s="33"/>
      <c r="J11" s="59"/>
      <c r="Z11" s="55">
        <v>20</v>
      </c>
      <c r="AA11" s="56">
        <v>12367</v>
      </c>
    </row>
    <row r="12" spans="1:27" ht="15.75" thickBot="1" x14ac:dyDescent="0.3">
      <c r="D12" s="59"/>
      <c r="E12" s="59"/>
      <c r="F12" s="59"/>
      <c r="G12" s="59"/>
      <c r="H12" s="59"/>
      <c r="I12" s="59"/>
      <c r="J12" s="59"/>
      <c r="K12" s="59"/>
      <c r="Z12" s="55">
        <v>21</v>
      </c>
      <c r="AA12" s="56">
        <v>14578</v>
      </c>
    </row>
    <row r="13" spans="1:27" ht="15.75" thickBot="1" x14ac:dyDescent="0.3">
      <c r="A13" s="96" t="s">
        <v>76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8"/>
      <c r="Z13" s="60">
        <v>22</v>
      </c>
      <c r="AA13" s="8">
        <v>17092</v>
      </c>
    </row>
    <row r="14" spans="1:27" ht="60" x14ac:dyDescent="0.25">
      <c r="A14" s="99" t="s">
        <v>0</v>
      </c>
      <c r="B14" s="99" t="s">
        <v>17</v>
      </c>
      <c r="C14" s="99" t="s">
        <v>64</v>
      </c>
      <c r="D14" s="99" t="s">
        <v>65</v>
      </c>
      <c r="E14" s="99" t="s">
        <v>18</v>
      </c>
      <c r="F14" s="99" t="s">
        <v>66</v>
      </c>
      <c r="G14" s="100" t="s">
        <v>51</v>
      </c>
      <c r="H14" s="100" t="s">
        <v>67</v>
      </c>
      <c r="I14" s="100" t="s">
        <v>68</v>
      </c>
      <c r="J14" s="100" t="s">
        <v>77</v>
      </c>
      <c r="K14" s="99" t="s">
        <v>70</v>
      </c>
      <c r="L14" s="100" t="s">
        <v>35</v>
      </c>
      <c r="M14" s="99" t="s">
        <v>72</v>
      </c>
      <c r="N14" s="99" t="s">
        <v>73</v>
      </c>
      <c r="O14" s="99" t="s">
        <v>33</v>
      </c>
      <c r="P14" s="99" t="s">
        <v>32</v>
      </c>
      <c r="Q14" s="100" t="s">
        <v>34</v>
      </c>
      <c r="R14" s="100" t="s">
        <v>71</v>
      </c>
      <c r="S14" s="99"/>
      <c r="T14" s="99" t="s">
        <v>54</v>
      </c>
      <c r="U14" s="51"/>
    </row>
    <row r="15" spans="1:27" x14ac:dyDescent="0.25">
      <c r="A15" s="101"/>
      <c r="B15" s="101"/>
      <c r="C15" s="102"/>
      <c r="D15" s="102"/>
      <c r="E15" s="102"/>
      <c r="F15" s="102"/>
      <c r="G15" s="58"/>
      <c r="H15" s="58"/>
      <c r="I15" s="103"/>
      <c r="J15" s="104"/>
      <c r="K15" s="104"/>
      <c r="L15" s="104"/>
      <c r="M15" s="105"/>
      <c r="N15" s="105"/>
      <c r="O15" s="105"/>
      <c r="Q15" s="106"/>
      <c r="R15" s="106"/>
      <c r="S15" s="104"/>
      <c r="T15" s="61"/>
      <c r="U15" s="51"/>
      <c r="V15" s="57"/>
    </row>
    <row r="16" spans="1:27" s="64" customFormat="1" x14ac:dyDescent="0.25">
      <c r="A16" s="113" t="s">
        <v>1</v>
      </c>
      <c r="B16" s="108">
        <v>1</v>
      </c>
      <c r="C16" s="109">
        <f t="shared" ref="C16:C21" si="0">IF(MONTH($B$3)&gt;B16,0,IF(AND(MONTH($B$3)=B16,IF($B$4="",13,MONTH($B$4))=B16),(DAY(DATE(YEAR($B$4),MONTH($B$4),DAY($B$4))-DAY($B$3)+1)*(30/DAY(DATE(YEAR($B$4),MONTH($B$4),DAY(EOMONTH(DATE(YEAR($B$4),MONTH($B$4),1),0)))))),IF(MONTH($B$3)=B16,(DAY(DATE(YEAR($B$3),B16+1,0)-DAY($B$3)+1)*(30/DAY(DATE(YEAR($B$3),B16+1,0)))),IF(MONTH($B$4)=B16,(DAY(DATE(YEAR($B$4),MONTH($B$4),DAY($B$4)))*(30/DAY(DATE(YEAR($B$4),MONTH($B$4),DAY(EOMONTH(DATE(YEAR($B$4),MONTH($B$4),1),0)))))),IF(IF($B$4="",13,MONTH($B$4))&lt;B16,0,(30/DAY(DATE(YEAR($B$4),B16,0)))*DAY(DATE(YEAR($B$4),B16,0)))))))</f>
        <v>22.258064516129032</v>
      </c>
      <c r="D16" s="45">
        <v>78</v>
      </c>
      <c r="E16" s="110">
        <v>156</v>
      </c>
      <c r="F16" s="109">
        <f>IF(SUM(C16:$C$27)=0,"",E16*C16/30)</f>
        <v>115.74193548387096</v>
      </c>
      <c r="G16" s="46">
        <f>FT_jaar_salaris</f>
        <v>45000</v>
      </c>
      <c r="H16" s="125">
        <f>SUMPRODUCT($G$16:G16,$K$16:K16)</f>
        <v>30325.500000000004</v>
      </c>
      <c r="I16" s="130">
        <v>200</v>
      </c>
      <c r="J16" s="131">
        <f t="shared" ref="J16:J27" si="1">IF(C16=0,J15,SUM(I16)*12*30/C16+J15)</f>
        <v>3234.782608695652</v>
      </c>
      <c r="K16" s="133">
        <f>IFERROR(IF(SUM(C16:$C$27)=0,"",ROUND(D16/F16,4)),0)</f>
        <v>0.67390000000000005</v>
      </c>
      <c r="L16" s="122">
        <f>IFERROR(SUMPRODUCT($B$7*$K$16:K16),0)</f>
        <v>7971.5631000000003</v>
      </c>
      <c r="M16" s="122">
        <f>IF(K16="",M15,(H16+J16-J15-L16-H15+L15)*C16/30+M15)</f>
        <v>18985.178990322584</v>
      </c>
      <c r="N16" s="122">
        <f>MAX(0,M16)</f>
        <v>18985.178990322584</v>
      </c>
      <c r="O16" s="122">
        <f>IF(K16="",O15,($B$9-$B$7)*K16*C16/30+O15)</f>
        <v>45743.114632258068</v>
      </c>
      <c r="P16" s="122">
        <f>($B$9-$B$7)*SUM($C$16:C16)/30</f>
        <v>67878.193548387091</v>
      </c>
      <c r="Q16" s="122">
        <f>MIN(N16,O16,P16)</f>
        <v>18985.178990322584</v>
      </c>
      <c r="R16" s="122">
        <f>(Q16-Q15)/12</f>
        <v>1582.0982491935486</v>
      </c>
      <c r="S16" s="65"/>
      <c r="T16" s="44">
        <f>(Q16-Q15)/12*$B$10</f>
        <v>371.79308856048391</v>
      </c>
      <c r="U16" s="62"/>
      <c r="V16" s="63"/>
    </row>
    <row r="17" spans="1:22" s="64" customFormat="1" x14ac:dyDescent="0.25">
      <c r="A17" s="113" t="s">
        <v>2</v>
      </c>
      <c r="B17" s="108">
        <v>2</v>
      </c>
      <c r="C17" s="109">
        <f t="shared" si="0"/>
        <v>30</v>
      </c>
      <c r="D17" s="45">
        <v>156</v>
      </c>
      <c r="E17" s="110">
        <v>156</v>
      </c>
      <c r="F17" s="109">
        <f>IF(SUM(C17:$C$27)=0,"",E17*C17/30)</f>
        <v>156</v>
      </c>
      <c r="G17" s="46">
        <f t="shared" ref="G17:G27" si="2">FT_jaar_salaris</f>
        <v>45000</v>
      </c>
      <c r="H17" s="125">
        <f>SUMPRODUCT($G$16:G17,$K$16:K17)</f>
        <v>75325.5</v>
      </c>
      <c r="I17" s="130"/>
      <c r="J17" s="131">
        <f t="shared" si="1"/>
        <v>3234.782608695652</v>
      </c>
      <c r="K17" s="133">
        <f>IFERROR(IF(SUM(C17:$C$27)=0,"",ROUND(D17/F17,4)),0)</f>
        <v>1</v>
      </c>
      <c r="L17" s="122">
        <f>IFERROR(SUMPRODUCT($B$7*$K$16:K17),L16)</f>
        <v>19800.563099999999</v>
      </c>
      <c r="M17" s="122">
        <f t="shared" ref="M17:M27" si="3">IF(K17="",M16,(H17+J17-J16-L17-H16+L16)*C17/30+M16)</f>
        <v>52156.178990322587</v>
      </c>
      <c r="N17" s="122">
        <f t="shared" ref="N17:N27" si="4">MAX(0,M17)</f>
        <v>52156.178990322587</v>
      </c>
      <c r="O17" s="122">
        <f t="shared" ref="O17:O27" si="5">IF(K17="",O16,($B$9-$B$7)*K17*C17/30+O16)</f>
        <v>137231.11463225808</v>
      </c>
      <c r="P17" s="122">
        <f>($B$9-$B$7)*SUM($C$16:C17)/30</f>
        <v>159366.19354838709</v>
      </c>
      <c r="Q17" s="122">
        <f t="shared" ref="Q17:Q27" si="6">MIN(N17,O17,P17)</f>
        <v>52156.178990322587</v>
      </c>
      <c r="R17" s="122">
        <f>(Q17-Q16)/12</f>
        <v>2764.25</v>
      </c>
      <c r="S17" s="65"/>
      <c r="T17" s="44">
        <f t="shared" ref="T17:T27" si="7">(Q17-Q16)/12*$B$10</f>
        <v>649.59875</v>
      </c>
      <c r="U17" s="62"/>
      <c r="V17" s="63"/>
    </row>
    <row r="18" spans="1:22" s="64" customFormat="1" x14ac:dyDescent="0.25">
      <c r="A18" s="113" t="s">
        <v>3</v>
      </c>
      <c r="B18" s="108">
        <v>3</v>
      </c>
      <c r="C18" s="109">
        <f t="shared" si="0"/>
        <v>30.000000000000004</v>
      </c>
      <c r="D18" s="45">
        <v>156</v>
      </c>
      <c r="E18" s="110">
        <v>156</v>
      </c>
      <c r="F18" s="109">
        <f>IF(SUM(C18:$C$27)=0,"",E18*C18/30)</f>
        <v>156.00000000000003</v>
      </c>
      <c r="G18" s="46">
        <f t="shared" si="2"/>
        <v>45000</v>
      </c>
      <c r="H18" s="125">
        <f>SUMPRODUCT($G$16:G18,$K$16:K18)</f>
        <v>120325.5</v>
      </c>
      <c r="I18" s="130"/>
      <c r="J18" s="131">
        <f t="shared" si="1"/>
        <v>3234.782608695652</v>
      </c>
      <c r="K18" s="133">
        <f>IFERROR(IF(SUM(C18:$C$27)=0,"",ROUND(D18/F18,4)),0)</f>
        <v>1</v>
      </c>
      <c r="L18" s="122">
        <f>IFERROR(SUMPRODUCT($B$7*$K$16:K18),L17)</f>
        <v>31629.563099999999</v>
      </c>
      <c r="M18" s="122">
        <f t="shared" si="3"/>
        <v>85327.178990322602</v>
      </c>
      <c r="N18" s="122">
        <f t="shared" si="4"/>
        <v>85327.178990322602</v>
      </c>
      <c r="O18" s="122">
        <f t="shared" si="5"/>
        <v>228719.11463225808</v>
      </c>
      <c r="P18" s="122">
        <f>($B$9-$B$7)*SUM($C$16:C18)/30</f>
        <v>250854.19354838709</v>
      </c>
      <c r="Q18" s="122">
        <f t="shared" si="6"/>
        <v>85327.178990322602</v>
      </c>
      <c r="R18" s="122">
        <f t="shared" ref="R18:R27" si="8">(Q18-Q17)/12</f>
        <v>2764.2500000000014</v>
      </c>
      <c r="S18" s="65"/>
      <c r="T18" s="44">
        <f t="shared" si="7"/>
        <v>649.59875000000034</v>
      </c>
      <c r="U18" s="62"/>
      <c r="V18" s="63"/>
    </row>
    <row r="19" spans="1:22" s="64" customFormat="1" x14ac:dyDescent="0.25">
      <c r="A19" s="113" t="s">
        <v>4</v>
      </c>
      <c r="B19" s="108">
        <v>4</v>
      </c>
      <c r="C19" s="109">
        <f t="shared" si="0"/>
        <v>30</v>
      </c>
      <c r="D19" s="45">
        <v>156</v>
      </c>
      <c r="E19" s="110">
        <v>156</v>
      </c>
      <c r="F19" s="109">
        <f>IF(SUM(C19:$C$27)=0,"",E19*C19/30)</f>
        <v>156</v>
      </c>
      <c r="G19" s="46">
        <f t="shared" si="2"/>
        <v>45000</v>
      </c>
      <c r="H19" s="125">
        <f>SUMPRODUCT($G$16:G19,$K$16:K19)</f>
        <v>165325.5</v>
      </c>
      <c r="I19" s="130"/>
      <c r="J19" s="131">
        <f t="shared" si="1"/>
        <v>3234.782608695652</v>
      </c>
      <c r="K19" s="133">
        <f>IFERROR(IF(SUM(C19:$C$27)=0,"",ROUND(D19/F19,4)),0)</f>
        <v>1</v>
      </c>
      <c r="L19" s="122">
        <f>IFERROR(SUMPRODUCT($B$7*$K$16:K19),L18)</f>
        <v>43458.563099999999</v>
      </c>
      <c r="M19" s="122">
        <f t="shared" si="3"/>
        <v>118498.1789903226</v>
      </c>
      <c r="N19" s="122">
        <f t="shared" si="4"/>
        <v>118498.1789903226</v>
      </c>
      <c r="O19" s="122">
        <f t="shared" si="5"/>
        <v>320207.11463225808</v>
      </c>
      <c r="P19" s="122">
        <f>($B$9-$B$7)*SUM($C$16:C19)/30</f>
        <v>342342.19354838709</v>
      </c>
      <c r="Q19" s="122">
        <f t="shared" si="6"/>
        <v>118498.1789903226</v>
      </c>
      <c r="R19" s="122">
        <f t="shared" si="8"/>
        <v>2764.25</v>
      </c>
      <c r="S19" s="65"/>
      <c r="T19" s="44">
        <f t="shared" si="7"/>
        <v>649.59875</v>
      </c>
      <c r="U19" s="62"/>
      <c r="V19" s="63"/>
    </row>
    <row r="20" spans="1:22" s="64" customFormat="1" x14ac:dyDescent="0.25">
      <c r="A20" s="113" t="s">
        <v>5</v>
      </c>
      <c r="B20" s="108">
        <v>5</v>
      </c>
      <c r="C20" s="109">
        <f t="shared" si="0"/>
        <v>30</v>
      </c>
      <c r="D20" s="45">
        <v>156</v>
      </c>
      <c r="E20" s="110">
        <v>156</v>
      </c>
      <c r="F20" s="109">
        <f>IF(SUM(C20:$C$27)=0,"",E20*C20/30)</f>
        <v>156</v>
      </c>
      <c r="G20" s="46">
        <f t="shared" si="2"/>
        <v>45000</v>
      </c>
      <c r="H20" s="125">
        <f>SUMPRODUCT($G$16:G20,$K$16:K20)</f>
        <v>210325.5</v>
      </c>
      <c r="I20" s="130"/>
      <c r="J20" s="131">
        <f t="shared" si="1"/>
        <v>3234.782608695652</v>
      </c>
      <c r="K20" s="133">
        <f>IFERROR(IF(SUM(C20:$C$27)=0,"",ROUND(D20/F20,4)),0)</f>
        <v>1</v>
      </c>
      <c r="L20" s="122">
        <f>IFERROR(SUMPRODUCT($B$7*$K$16:K20),L19)</f>
        <v>55287.563099999999</v>
      </c>
      <c r="M20" s="122">
        <f t="shared" si="3"/>
        <v>151669.1789903226</v>
      </c>
      <c r="N20" s="122">
        <f t="shared" si="4"/>
        <v>151669.1789903226</v>
      </c>
      <c r="O20" s="122">
        <f t="shared" si="5"/>
        <v>411695.11463225808</v>
      </c>
      <c r="P20" s="122">
        <f>($B$9-$B$7)*SUM($C$16:C20)/30</f>
        <v>433830.19354838709</v>
      </c>
      <c r="Q20" s="122">
        <f t="shared" si="6"/>
        <v>151669.1789903226</v>
      </c>
      <c r="R20" s="122">
        <f t="shared" si="8"/>
        <v>2764.25</v>
      </c>
      <c r="S20" s="65"/>
      <c r="T20" s="44">
        <f t="shared" si="7"/>
        <v>649.59875</v>
      </c>
      <c r="U20" s="62"/>
      <c r="V20" s="63"/>
    </row>
    <row r="21" spans="1:22" s="64" customFormat="1" x14ac:dyDescent="0.25">
      <c r="A21" s="113" t="s">
        <v>6</v>
      </c>
      <c r="B21" s="108">
        <v>6</v>
      </c>
      <c r="C21" s="109">
        <f t="shared" si="0"/>
        <v>30</v>
      </c>
      <c r="D21" s="45">
        <v>156</v>
      </c>
      <c r="E21" s="110">
        <v>156</v>
      </c>
      <c r="F21" s="109">
        <f>IF(SUM(C21:$C$27)=0,"",E21*C21/30)</f>
        <v>156</v>
      </c>
      <c r="G21" s="46">
        <f t="shared" si="2"/>
        <v>45000</v>
      </c>
      <c r="H21" s="125">
        <f>SUMPRODUCT($G$16:G21,$K$16:K21)</f>
        <v>255325.5</v>
      </c>
      <c r="I21" s="130"/>
      <c r="J21" s="131">
        <f t="shared" si="1"/>
        <v>3234.782608695652</v>
      </c>
      <c r="K21" s="133">
        <f>IFERROR(IF(SUM(C21:$C$27)=0,"",ROUND(D21/F21,4)),0)</f>
        <v>1</v>
      </c>
      <c r="L21" s="122">
        <f>IFERROR(SUMPRODUCT($B$7*$K$16:K21),L20)</f>
        <v>67116.563099999999</v>
      </c>
      <c r="M21" s="122">
        <f t="shared" si="3"/>
        <v>184840.1789903226</v>
      </c>
      <c r="N21" s="122">
        <f t="shared" si="4"/>
        <v>184840.1789903226</v>
      </c>
      <c r="O21" s="122">
        <f t="shared" si="5"/>
        <v>503183.11463225808</v>
      </c>
      <c r="P21" s="122">
        <f>($B$9-$B$7)*SUM($C$16:C21)/30</f>
        <v>525318.19354838715</v>
      </c>
      <c r="Q21" s="122">
        <f t="shared" si="6"/>
        <v>184840.1789903226</v>
      </c>
      <c r="R21" s="122">
        <f t="shared" si="8"/>
        <v>2764.25</v>
      </c>
      <c r="S21" s="65"/>
      <c r="T21" s="44">
        <f t="shared" si="7"/>
        <v>649.59875</v>
      </c>
      <c r="U21" s="62"/>
      <c r="V21" s="63"/>
    </row>
    <row r="22" spans="1:22" s="64" customFormat="1" x14ac:dyDescent="0.25">
      <c r="A22" s="113" t="s">
        <v>7</v>
      </c>
      <c r="B22" s="108">
        <v>7</v>
      </c>
      <c r="C22" s="109">
        <f>IF(MONTH($B$3)&gt;B22,0,IF(AND(MONTH($B$3)=B22,IF($B$4="",13,MONTH($B$4))=B22),(DAY(DATE(YEAR($B$4),MONTH($B$4),DAY($B$4))-DAY($B$3)+1)*(30/DAY(DATE(YEAR($B$4),MONTH($B$4),DAY(EOMONTH(DATE(YEAR($B$4),MONTH($B$4),1),0)))))),IF(MONTH($B$3)=B22,(DAY(DATE(YEAR($B$3),B22+1,0)-DAY($B$3)+1)*(30/DAY(DATE(YEAR($B$3),B22+1,0)))),IF(MONTH($B$4)=B22,(DAY(DATE(YEAR($B$4),MONTH($B$4),DAY($B$4)))*(30/DAY(DATE(YEAR($B$4),MONTH($B$4),DAY(EOMONTH(DATE(YEAR($B$4),MONTH($B$4),1),0)))))),IF(IF($B$4="",13,MONTH($B$4))&lt;B22,0,(30/DAY(DATE(YEAR($B$4),B22,0)))*DAY(DATE(YEAR($B$4),B22,0)))))))</f>
        <v>30</v>
      </c>
      <c r="D22" s="45">
        <v>156</v>
      </c>
      <c r="E22" s="110">
        <v>156</v>
      </c>
      <c r="F22" s="109">
        <f>IF(SUM(C22:$C$27)=0,"",E22*C22/30)</f>
        <v>156</v>
      </c>
      <c r="G22" s="46">
        <f t="shared" si="2"/>
        <v>45000</v>
      </c>
      <c r="H22" s="125">
        <f>SUMPRODUCT($G$16:G22,$K$16:K22)</f>
        <v>300325.5</v>
      </c>
      <c r="I22" s="130"/>
      <c r="J22" s="131">
        <f t="shared" si="1"/>
        <v>3234.782608695652</v>
      </c>
      <c r="K22" s="133">
        <f>IFERROR(IF(SUM(C22:$C$27)=0,"",ROUND(D22/F22,4)),0)</f>
        <v>1</v>
      </c>
      <c r="L22" s="122">
        <f>IFERROR(SUMPRODUCT($B$7*$K$16:K22),L21)</f>
        <v>78945.563099999999</v>
      </c>
      <c r="M22" s="122">
        <f t="shared" si="3"/>
        <v>218011.1789903226</v>
      </c>
      <c r="N22" s="122">
        <f t="shared" si="4"/>
        <v>218011.1789903226</v>
      </c>
      <c r="O22" s="122">
        <f t="shared" si="5"/>
        <v>594671.11463225808</v>
      </c>
      <c r="P22" s="122">
        <f>($B$9-$B$7)*SUM($C$16:C22)/30</f>
        <v>616806.19354838703</v>
      </c>
      <c r="Q22" s="122">
        <f t="shared" si="6"/>
        <v>218011.1789903226</v>
      </c>
      <c r="R22" s="122">
        <f t="shared" si="8"/>
        <v>2764.25</v>
      </c>
      <c r="S22" s="65"/>
      <c r="T22" s="44">
        <f t="shared" si="7"/>
        <v>649.59875</v>
      </c>
      <c r="U22" s="62"/>
      <c r="V22" s="63"/>
    </row>
    <row r="23" spans="1:22" s="64" customFormat="1" x14ac:dyDescent="0.25">
      <c r="A23" s="113" t="s">
        <v>8</v>
      </c>
      <c r="B23" s="108">
        <v>8</v>
      </c>
      <c r="C23" s="109">
        <f t="shared" ref="C23:C27" si="9">IF(MONTH($B$3)&gt;B23,0,IF(AND(MONTH($B$3)=B23,IF($B$4="",13,MONTH($B$4))=B23),(DAY(DATE(YEAR($B$4),MONTH($B$4),DAY($B$4))-DAY($B$3)+1)*(30/DAY(DATE(YEAR($B$4),MONTH($B$4),DAY(EOMONTH(DATE(YEAR($B$4),MONTH($B$4),1),0)))))),IF(MONTH($B$3)=B23,(DAY(DATE(YEAR($B$3),B23+1,0)-DAY($B$3)+1)*(30/DAY(DATE(YEAR($B$3),B23+1,0)))),IF(MONTH($B$4)=B23,(DAY(DATE(YEAR($B$4),MONTH($B$4),DAY($B$4)))*(30/DAY(DATE(YEAR($B$4),MONTH($B$4),DAY(EOMONTH(DATE(YEAR($B$4),MONTH($B$4),1),0)))))),IF(IF($B$4="",13,MONTH($B$4))&lt;B23,0,(30/DAY(DATE(YEAR($B$4),B23,0)))*DAY(DATE(YEAR($B$4),B23,0)))))))</f>
        <v>30</v>
      </c>
      <c r="D23" s="45">
        <v>156</v>
      </c>
      <c r="E23" s="110">
        <v>156</v>
      </c>
      <c r="F23" s="109">
        <f>IF(SUM(C23:$C$27)=0,"",E23*C23/30)</f>
        <v>156</v>
      </c>
      <c r="G23" s="46">
        <f t="shared" si="2"/>
        <v>45000</v>
      </c>
      <c r="H23" s="125">
        <f>SUMPRODUCT($G$16:G23,$K$16:K23)</f>
        <v>345325.5</v>
      </c>
      <c r="I23" s="130"/>
      <c r="J23" s="131">
        <f t="shared" si="1"/>
        <v>3234.782608695652</v>
      </c>
      <c r="K23" s="133">
        <f>IFERROR(IF(SUM(C23:$C$27)=0,"",ROUND(D23/F23,4)),0)</f>
        <v>1</v>
      </c>
      <c r="L23" s="122">
        <f>IFERROR(SUMPRODUCT($B$7*$K$16:K23),L22)</f>
        <v>90774.563099999999</v>
      </c>
      <c r="M23" s="122">
        <f t="shared" si="3"/>
        <v>251182.1789903226</v>
      </c>
      <c r="N23" s="122">
        <f t="shared" si="4"/>
        <v>251182.1789903226</v>
      </c>
      <c r="O23" s="122">
        <f t="shared" si="5"/>
        <v>686159.11463225808</v>
      </c>
      <c r="P23" s="122">
        <f>($B$9-$B$7)*SUM($C$16:C23)/30</f>
        <v>708294.19354838703</v>
      </c>
      <c r="Q23" s="122">
        <f t="shared" si="6"/>
        <v>251182.1789903226</v>
      </c>
      <c r="R23" s="122">
        <f t="shared" si="8"/>
        <v>2764.25</v>
      </c>
      <c r="S23" s="65"/>
      <c r="T23" s="44">
        <f t="shared" si="7"/>
        <v>649.59875</v>
      </c>
      <c r="U23" s="62"/>
      <c r="V23" s="63"/>
    </row>
    <row r="24" spans="1:22" s="64" customFormat="1" x14ac:dyDescent="0.25">
      <c r="A24" s="113" t="s">
        <v>9</v>
      </c>
      <c r="B24" s="108">
        <v>9</v>
      </c>
      <c r="C24" s="109">
        <f t="shared" si="9"/>
        <v>30</v>
      </c>
      <c r="D24" s="45">
        <v>156</v>
      </c>
      <c r="E24" s="110">
        <v>156</v>
      </c>
      <c r="F24" s="109">
        <f>IF(SUM(C24:$C$27)=0,"",E24*C24/30)</f>
        <v>156</v>
      </c>
      <c r="G24" s="46">
        <f t="shared" si="2"/>
        <v>45000</v>
      </c>
      <c r="H24" s="125">
        <f>SUMPRODUCT($G$16:G24,$K$16:K24)</f>
        <v>390325.5</v>
      </c>
      <c r="I24" s="130"/>
      <c r="J24" s="131">
        <f t="shared" si="1"/>
        <v>3234.782608695652</v>
      </c>
      <c r="K24" s="133">
        <f>IFERROR(IF(SUM(C24:$C$27)=0,"",ROUND(D24/F24,4)),0)</f>
        <v>1</v>
      </c>
      <c r="L24" s="122">
        <f>IFERROR(SUMPRODUCT($B$7*$K$16:K24),L23)</f>
        <v>102603.5631</v>
      </c>
      <c r="M24" s="122">
        <f t="shared" si="3"/>
        <v>284353.17899032257</v>
      </c>
      <c r="N24" s="122">
        <f t="shared" si="4"/>
        <v>284353.17899032257</v>
      </c>
      <c r="O24" s="122">
        <f t="shared" si="5"/>
        <v>777647.11463225808</v>
      </c>
      <c r="P24" s="122">
        <f>($B$9-$B$7)*SUM($C$16:C24)/30</f>
        <v>799782.19354838703</v>
      </c>
      <c r="Q24" s="122">
        <f t="shared" si="6"/>
        <v>284353.17899032257</v>
      </c>
      <c r="R24" s="122">
        <f t="shared" si="8"/>
        <v>2764.2499999999977</v>
      </c>
      <c r="S24" s="65"/>
      <c r="T24" s="44">
        <f t="shared" si="7"/>
        <v>649.59874999999943</v>
      </c>
      <c r="U24" s="62"/>
      <c r="V24" s="63"/>
    </row>
    <row r="25" spans="1:22" s="64" customFormat="1" x14ac:dyDescent="0.25">
      <c r="A25" s="113" t="s">
        <v>10</v>
      </c>
      <c r="B25" s="108">
        <v>10</v>
      </c>
      <c r="C25" s="109">
        <f t="shared" si="9"/>
        <v>30</v>
      </c>
      <c r="D25" s="45">
        <v>156</v>
      </c>
      <c r="E25" s="110">
        <v>156</v>
      </c>
      <c r="F25" s="109">
        <f>IF(SUM(C25:$C$27)=0,"",E25*C25/30)</f>
        <v>156</v>
      </c>
      <c r="G25" s="46">
        <f t="shared" si="2"/>
        <v>45000</v>
      </c>
      <c r="H25" s="125">
        <f>SUMPRODUCT($G$16:G25,$K$16:K25)</f>
        <v>435325.5</v>
      </c>
      <c r="I25" s="130"/>
      <c r="J25" s="131">
        <f t="shared" si="1"/>
        <v>3234.782608695652</v>
      </c>
      <c r="K25" s="133">
        <f>IFERROR(IF(SUM(C25:$C$27)=0,"",ROUND(D25/F25,4)),0)</f>
        <v>1</v>
      </c>
      <c r="L25" s="122">
        <f>IFERROR(SUMPRODUCT($B$7*$K$16:K25),L24)</f>
        <v>114432.5631</v>
      </c>
      <c r="M25" s="122">
        <f t="shared" si="3"/>
        <v>317524.17899032251</v>
      </c>
      <c r="N25" s="122">
        <f t="shared" si="4"/>
        <v>317524.17899032251</v>
      </c>
      <c r="O25" s="122">
        <f t="shared" si="5"/>
        <v>869135.11463225808</v>
      </c>
      <c r="P25" s="122">
        <f>($B$9-$B$7)*SUM($C$16:C25)/30</f>
        <v>891270.19354838703</v>
      </c>
      <c r="Q25" s="122">
        <f t="shared" si="6"/>
        <v>317524.17899032251</v>
      </c>
      <c r="R25" s="122">
        <f t="shared" si="8"/>
        <v>2764.249999999995</v>
      </c>
      <c r="S25" s="65"/>
      <c r="T25" s="44">
        <f t="shared" si="7"/>
        <v>649.59874999999874</v>
      </c>
      <c r="U25" s="62"/>
      <c r="V25" s="63"/>
    </row>
    <row r="26" spans="1:22" s="64" customFormat="1" x14ac:dyDescent="0.25">
      <c r="A26" s="113" t="s">
        <v>11</v>
      </c>
      <c r="B26" s="108">
        <v>11</v>
      </c>
      <c r="C26" s="109">
        <f t="shared" si="9"/>
        <v>30</v>
      </c>
      <c r="D26" s="45">
        <v>156</v>
      </c>
      <c r="E26" s="110">
        <v>156</v>
      </c>
      <c r="F26" s="109">
        <f>IF(SUM(C26:$C$27)=0,"",E26*C26/30)</f>
        <v>156</v>
      </c>
      <c r="G26" s="46">
        <f t="shared" si="2"/>
        <v>45000</v>
      </c>
      <c r="H26" s="125">
        <f>SUMPRODUCT($G$16:G26,$K$16:K26)</f>
        <v>480325.5</v>
      </c>
      <c r="I26" s="130"/>
      <c r="J26" s="131">
        <f t="shared" si="1"/>
        <v>3234.782608695652</v>
      </c>
      <c r="K26" s="133">
        <f>IFERROR(IF(SUM(C26:$C$27)=0,"",ROUND(D26/F26,4)),0)</f>
        <v>1</v>
      </c>
      <c r="L26" s="122">
        <f>IFERROR(SUMPRODUCT($B$7*$K$16:K26),L25)</f>
        <v>126261.5631</v>
      </c>
      <c r="M26" s="122">
        <f t="shared" si="3"/>
        <v>350695.17899032251</v>
      </c>
      <c r="N26" s="122">
        <f t="shared" si="4"/>
        <v>350695.17899032251</v>
      </c>
      <c r="O26" s="122">
        <f t="shared" si="5"/>
        <v>960623.11463225808</v>
      </c>
      <c r="P26" s="122">
        <f>($B$9-$B$7)*SUM($C$16:C26)/30</f>
        <v>982758.19354838703</v>
      </c>
      <c r="Q26" s="122">
        <f t="shared" si="6"/>
        <v>350695.17899032251</v>
      </c>
      <c r="R26" s="122">
        <f t="shared" si="8"/>
        <v>2764.25</v>
      </c>
      <c r="S26" s="65"/>
      <c r="T26" s="44">
        <f t="shared" si="7"/>
        <v>649.59875</v>
      </c>
      <c r="U26" s="62"/>
      <c r="V26" s="63"/>
    </row>
    <row r="27" spans="1:22" s="64" customFormat="1" x14ac:dyDescent="0.25">
      <c r="A27" s="113" t="s">
        <v>12</v>
      </c>
      <c r="B27" s="108">
        <v>12</v>
      </c>
      <c r="C27" s="109">
        <f t="shared" si="9"/>
        <v>30</v>
      </c>
      <c r="D27" s="45">
        <v>156</v>
      </c>
      <c r="E27" s="110">
        <v>156</v>
      </c>
      <c r="F27" s="109">
        <f>IF(SUM(C27:$C$27)=0,"",E27*C27/30)</f>
        <v>156</v>
      </c>
      <c r="G27" s="46">
        <f t="shared" si="2"/>
        <v>45000</v>
      </c>
      <c r="H27" s="125">
        <f>SUMPRODUCT($G$16:G27,$K$16:K27)</f>
        <v>525325.5</v>
      </c>
      <c r="I27" s="130"/>
      <c r="J27" s="131">
        <f t="shared" si="1"/>
        <v>3234.782608695652</v>
      </c>
      <c r="K27" s="133">
        <f>IFERROR(IF(SUM(C27:$C$27)=0,"",ROUND(D27/F27,4)),0)</f>
        <v>1</v>
      </c>
      <c r="L27" s="122">
        <f>IFERROR(SUMPRODUCT($B$7*$K$16:K27),L26)</f>
        <v>138090.5631</v>
      </c>
      <c r="M27" s="122">
        <f t="shared" si="3"/>
        <v>383866.17899032251</v>
      </c>
      <c r="N27" s="122">
        <f t="shared" si="4"/>
        <v>383866.17899032251</v>
      </c>
      <c r="O27" s="122">
        <f t="shared" si="5"/>
        <v>1052111.1146322582</v>
      </c>
      <c r="P27" s="122">
        <f>($B$9-$B$7)*SUM($C$16:C27)/30</f>
        <v>1074246.1935483871</v>
      </c>
      <c r="Q27" s="122">
        <f t="shared" si="6"/>
        <v>383866.17899032251</v>
      </c>
      <c r="R27" s="122">
        <f t="shared" si="8"/>
        <v>2764.25</v>
      </c>
      <c r="S27" s="65"/>
      <c r="T27" s="44">
        <f t="shared" si="7"/>
        <v>649.59875</v>
      </c>
      <c r="U27" s="62"/>
      <c r="V27" s="63"/>
    </row>
    <row r="28" spans="1:22" x14ac:dyDescent="0.25">
      <c r="A28" s="70"/>
      <c r="B28" s="35">
        <v>13</v>
      </c>
      <c r="C28" s="70"/>
      <c r="D28" s="70"/>
      <c r="E28" s="70"/>
      <c r="F28" s="70"/>
      <c r="G28" s="71"/>
      <c r="H28" s="70"/>
      <c r="I28" s="70"/>
      <c r="J28" s="70"/>
      <c r="K28" s="70"/>
      <c r="L28" s="70"/>
      <c r="M28" s="70"/>
      <c r="N28" s="70"/>
      <c r="O28" s="70"/>
      <c r="P28" s="72"/>
      <c r="Q28" s="72"/>
      <c r="R28" s="72"/>
      <c r="S28" s="73"/>
      <c r="T28" s="10"/>
      <c r="U28" s="51"/>
    </row>
    <row r="29" spans="1:22" x14ac:dyDescent="0.25">
      <c r="A29" s="115" t="s">
        <v>13</v>
      </c>
      <c r="B29" s="115"/>
      <c r="C29" s="115"/>
      <c r="D29" s="115"/>
      <c r="E29" s="115"/>
      <c r="F29" s="115"/>
      <c r="G29" s="116"/>
      <c r="H29" s="116"/>
      <c r="I29" s="116"/>
      <c r="J29" s="116"/>
      <c r="K29" s="115"/>
      <c r="L29" s="115"/>
      <c r="M29" s="115"/>
      <c r="N29" s="115"/>
      <c r="O29" s="116"/>
      <c r="P29" s="116"/>
      <c r="Q29" s="116"/>
      <c r="R29" s="116"/>
      <c r="S29" s="115"/>
      <c r="T29" s="117">
        <f>MAX(SUM(T16:T27),0)</f>
        <v>7517.3793385604822</v>
      </c>
      <c r="U29" s="51"/>
    </row>
    <row r="30" spans="1:22" x14ac:dyDescent="0.25">
      <c r="U30" s="51"/>
    </row>
    <row r="32" spans="1:22" ht="15.75" thickBot="1" x14ac:dyDescent="0.3">
      <c r="T32" s="74"/>
    </row>
    <row r="33" spans="1:27" ht="15.75" thickBot="1" x14ac:dyDescent="0.3">
      <c r="A33" s="96" t="s">
        <v>36</v>
      </c>
      <c r="B33" s="97"/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8"/>
      <c r="Z33" s="60">
        <v>22</v>
      </c>
      <c r="AA33" s="8">
        <v>17092</v>
      </c>
    </row>
    <row r="34" spans="1:27" ht="45" x14ac:dyDescent="0.25">
      <c r="A34" s="99" t="s">
        <v>0</v>
      </c>
      <c r="B34" s="99" t="s">
        <v>17</v>
      </c>
      <c r="C34" s="99" t="s">
        <v>64</v>
      </c>
      <c r="D34" s="99" t="s">
        <v>65</v>
      </c>
      <c r="E34" s="99" t="s">
        <v>18</v>
      </c>
      <c r="F34" s="99" t="s">
        <v>66</v>
      </c>
      <c r="G34" s="100" t="s">
        <v>51</v>
      </c>
      <c r="H34" s="100" t="s">
        <v>67</v>
      </c>
      <c r="I34" s="100" t="s">
        <v>68</v>
      </c>
      <c r="J34" s="100" t="s">
        <v>69</v>
      </c>
      <c r="K34" s="99" t="s">
        <v>70</v>
      </c>
      <c r="L34" s="100" t="s">
        <v>55</v>
      </c>
      <c r="M34" s="99" t="s">
        <v>74</v>
      </c>
      <c r="N34" s="99" t="s">
        <v>75</v>
      </c>
      <c r="O34" s="99"/>
      <c r="P34" s="99"/>
      <c r="Q34" s="100"/>
      <c r="R34" s="100" t="s">
        <v>71</v>
      </c>
      <c r="S34" s="99"/>
      <c r="T34" s="99" t="s">
        <v>54</v>
      </c>
      <c r="U34" s="51"/>
    </row>
    <row r="35" spans="1:27" x14ac:dyDescent="0.25">
      <c r="A35" s="101"/>
      <c r="B35" s="101"/>
      <c r="C35" s="102"/>
      <c r="D35" s="102"/>
      <c r="E35" s="102"/>
      <c r="F35" s="102"/>
      <c r="G35" s="58"/>
      <c r="H35" s="58"/>
      <c r="I35" s="104"/>
      <c r="J35" s="104"/>
      <c r="K35" s="104"/>
      <c r="L35" s="104"/>
      <c r="M35" s="104"/>
      <c r="N35" s="104"/>
      <c r="O35" s="118"/>
      <c r="P35" s="75"/>
      <c r="Q35" s="119"/>
      <c r="R35" s="119"/>
      <c r="S35" s="118"/>
      <c r="T35" s="61"/>
      <c r="U35" s="51"/>
      <c r="V35" s="57"/>
    </row>
    <row r="36" spans="1:27" s="64" customFormat="1" x14ac:dyDescent="0.25">
      <c r="A36" s="113" t="s">
        <v>1</v>
      </c>
      <c r="B36" s="108">
        <v>1</v>
      </c>
      <c r="C36" s="109">
        <f t="shared" ref="C36:K47" si="10">C16</f>
        <v>22.258064516129032</v>
      </c>
      <c r="D36" s="109">
        <f t="shared" ref="D36" si="11">D16</f>
        <v>78</v>
      </c>
      <c r="E36" s="109">
        <f t="shared" ref="E36:J36" si="12">E16</f>
        <v>156</v>
      </c>
      <c r="F36" s="109">
        <f t="shared" si="12"/>
        <v>115.74193548387096</v>
      </c>
      <c r="G36" s="120">
        <f t="shared" si="12"/>
        <v>45000</v>
      </c>
      <c r="H36" s="129">
        <f>H16</f>
        <v>30325.500000000004</v>
      </c>
      <c r="I36" s="129">
        <f t="shared" si="12"/>
        <v>200</v>
      </c>
      <c r="J36" s="129">
        <f t="shared" si="12"/>
        <v>3234.782608695652</v>
      </c>
      <c r="K36" s="121">
        <f>K16</f>
        <v>0.67390000000000005</v>
      </c>
      <c r="L36" s="122">
        <f>COUNTIF($C$36:C36,"&gt;0")*$B$8</f>
        <v>20108</v>
      </c>
      <c r="M36" s="122">
        <f>IF(K36="",M35,(H36+J36-J35-L36-H35+L35)*C36/30+M35)</f>
        <v>9980.7258064516154</v>
      </c>
      <c r="N36" s="122">
        <f t="shared" ref="N36:N47" si="13">MAX(0,M36)</f>
        <v>9980.7258064516154</v>
      </c>
      <c r="O36" s="123"/>
      <c r="P36" s="123"/>
      <c r="Q36" s="123"/>
      <c r="R36" s="122">
        <f>(N36-N35)/12</f>
        <v>831.72715053763466</v>
      </c>
      <c r="S36" s="112"/>
      <c r="T36" s="44">
        <f t="shared" ref="T36:T47" si="14">(N36-N35)/12*$B$11</f>
        <v>4.1586357526881734</v>
      </c>
      <c r="U36" s="62"/>
      <c r="V36" s="63"/>
    </row>
    <row r="37" spans="1:27" s="64" customFormat="1" x14ac:dyDescent="0.25">
      <c r="A37" s="113" t="s">
        <v>2</v>
      </c>
      <c r="B37" s="108">
        <v>2</v>
      </c>
      <c r="C37" s="109">
        <f t="shared" si="10"/>
        <v>30</v>
      </c>
      <c r="D37" s="109">
        <f t="shared" si="10"/>
        <v>156</v>
      </c>
      <c r="E37" s="109">
        <f t="shared" si="10"/>
        <v>156</v>
      </c>
      <c r="F37" s="109">
        <f t="shared" si="10"/>
        <v>156</v>
      </c>
      <c r="G37" s="120">
        <f t="shared" si="10"/>
        <v>45000</v>
      </c>
      <c r="H37" s="129">
        <f t="shared" si="10"/>
        <v>75325.5</v>
      </c>
      <c r="I37" s="129">
        <f t="shared" si="10"/>
        <v>0</v>
      </c>
      <c r="J37" s="129">
        <f t="shared" si="10"/>
        <v>3234.782608695652</v>
      </c>
      <c r="K37" s="121">
        <f t="shared" si="10"/>
        <v>1</v>
      </c>
      <c r="L37" s="122">
        <f>COUNTIF($C$36:C37,"&gt;0")*$B$8</f>
        <v>40216</v>
      </c>
      <c r="M37" s="122">
        <f t="shared" ref="M37:M47" si="15">IF(K37="",M36,(H37+J37-J36-L37-H36+L36)*C37/30+M36)</f>
        <v>34872.725806451614</v>
      </c>
      <c r="N37" s="122">
        <f t="shared" si="13"/>
        <v>34872.725806451614</v>
      </c>
      <c r="O37" s="123"/>
      <c r="P37" s="123"/>
      <c r="Q37" s="123"/>
      <c r="R37" s="122">
        <f t="shared" ref="R37:R47" si="16">(N37-N36)/12</f>
        <v>2074.3333333333335</v>
      </c>
      <c r="S37" s="112"/>
      <c r="T37" s="44">
        <f t="shared" si="14"/>
        <v>10.371666666666668</v>
      </c>
      <c r="U37" s="62"/>
      <c r="V37" s="63"/>
    </row>
    <row r="38" spans="1:27" s="64" customFormat="1" x14ac:dyDescent="0.25">
      <c r="A38" s="113" t="s">
        <v>3</v>
      </c>
      <c r="B38" s="108">
        <v>3</v>
      </c>
      <c r="C38" s="109">
        <f t="shared" si="10"/>
        <v>30.000000000000004</v>
      </c>
      <c r="D38" s="109">
        <f t="shared" si="10"/>
        <v>156</v>
      </c>
      <c r="E38" s="109">
        <f t="shared" si="10"/>
        <v>156</v>
      </c>
      <c r="F38" s="109">
        <f t="shared" si="10"/>
        <v>156.00000000000003</v>
      </c>
      <c r="G38" s="120">
        <f t="shared" si="10"/>
        <v>45000</v>
      </c>
      <c r="H38" s="129">
        <f t="shared" si="10"/>
        <v>120325.5</v>
      </c>
      <c r="I38" s="129">
        <f t="shared" si="10"/>
        <v>0</v>
      </c>
      <c r="J38" s="129">
        <f>J18</f>
        <v>3234.782608695652</v>
      </c>
      <c r="K38" s="121">
        <f t="shared" si="10"/>
        <v>1</v>
      </c>
      <c r="L38" s="122">
        <f>COUNTIF($C$36:C38,"&gt;0")*$B$8</f>
        <v>60324</v>
      </c>
      <c r="M38" s="122">
        <f t="shared" si="15"/>
        <v>59764.725806451621</v>
      </c>
      <c r="N38" s="122">
        <f t="shared" si="13"/>
        <v>59764.725806451621</v>
      </c>
      <c r="O38" s="123"/>
      <c r="P38" s="123"/>
      <c r="Q38" s="123"/>
      <c r="R38" s="122">
        <f t="shared" si="16"/>
        <v>2074.3333333333339</v>
      </c>
      <c r="S38" s="112"/>
      <c r="T38" s="44">
        <f t="shared" si="14"/>
        <v>10.37166666666667</v>
      </c>
      <c r="U38" s="62"/>
      <c r="V38" s="63"/>
    </row>
    <row r="39" spans="1:27" s="64" customFormat="1" x14ac:dyDescent="0.25">
      <c r="A39" s="113" t="s">
        <v>4</v>
      </c>
      <c r="B39" s="108">
        <v>4</v>
      </c>
      <c r="C39" s="109">
        <f t="shared" si="10"/>
        <v>30</v>
      </c>
      <c r="D39" s="109">
        <f t="shared" si="10"/>
        <v>156</v>
      </c>
      <c r="E39" s="109">
        <f t="shared" si="10"/>
        <v>156</v>
      </c>
      <c r="F39" s="109">
        <f t="shared" si="10"/>
        <v>156</v>
      </c>
      <c r="G39" s="120">
        <f t="shared" si="10"/>
        <v>45000</v>
      </c>
      <c r="H39" s="129">
        <f t="shared" si="10"/>
        <v>165325.5</v>
      </c>
      <c r="I39" s="129">
        <f t="shared" si="10"/>
        <v>0</v>
      </c>
      <c r="J39" s="129">
        <f t="shared" si="10"/>
        <v>3234.782608695652</v>
      </c>
      <c r="K39" s="121">
        <f t="shared" si="10"/>
        <v>1</v>
      </c>
      <c r="L39" s="122">
        <f>COUNTIF($C$36:C39,"&gt;0")*$B$8</f>
        <v>80432</v>
      </c>
      <c r="M39" s="122">
        <f t="shared" si="15"/>
        <v>84656.725806451621</v>
      </c>
      <c r="N39" s="122">
        <f t="shared" si="13"/>
        <v>84656.725806451621</v>
      </c>
      <c r="O39" s="123"/>
      <c r="P39" s="123"/>
      <c r="Q39" s="123"/>
      <c r="R39" s="122">
        <f t="shared" si="16"/>
        <v>2074.3333333333335</v>
      </c>
      <c r="S39" s="112"/>
      <c r="T39" s="44">
        <f t="shared" si="14"/>
        <v>10.371666666666668</v>
      </c>
      <c r="U39" s="62"/>
      <c r="V39" s="63"/>
    </row>
    <row r="40" spans="1:27" s="64" customFormat="1" x14ac:dyDescent="0.25">
      <c r="A40" s="113" t="s">
        <v>5</v>
      </c>
      <c r="B40" s="108">
        <v>5</v>
      </c>
      <c r="C40" s="109">
        <f t="shared" si="10"/>
        <v>30</v>
      </c>
      <c r="D40" s="109">
        <f t="shared" si="10"/>
        <v>156</v>
      </c>
      <c r="E40" s="109">
        <f t="shared" si="10"/>
        <v>156</v>
      </c>
      <c r="F40" s="109">
        <f t="shared" si="10"/>
        <v>156</v>
      </c>
      <c r="G40" s="120">
        <f t="shared" si="10"/>
        <v>45000</v>
      </c>
      <c r="H40" s="129">
        <f t="shared" si="10"/>
        <v>210325.5</v>
      </c>
      <c r="I40" s="129">
        <f t="shared" si="10"/>
        <v>0</v>
      </c>
      <c r="J40" s="129">
        <f t="shared" si="10"/>
        <v>3234.782608695652</v>
      </c>
      <c r="K40" s="121">
        <f t="shared" si="10"/>
        <v>1</v>
      </c>
      <c r="L40" s="122">
        <f>COUNTIF($C$36:C40,"&gt;0")*$B$8</f>
        <v>100540</v>
      </c>
      <c r="M40" s="122">
        <f t="shared" si="15"/>
        <v>109548.72580645162</v>
      </c>
      <c r="N40" s="122">
        <f t="shared" si="13"/>
        <v>109548.72580645162</v>
      </c>
      <c r="O40" s="123"/>
      <c r="P40" s="123"/>
      <c r="Q40" s="123"/>
      <c r="R40" s="122">
        <f t="shared" si="16"/>
        <v>2074.3333333333335</v>
      </c>
      <c r="S40" s="112"/>
      <c r="T40" s="44">
        <f t="shared" si="14"/>
        <v>10.371666666666668</v>
      </c>
      <c r="U40" s="62"/>
      <c r="V40" s="63"/>
    </row>
    <row r="41" spans="1:27" s="64" customFormat="1" x14ac:dyDescent="0.25">
      <c r="A41" s="113" t="s">
        <v>6</v>
      </c>
      <c r="B41" s="108">
        <v>6</v>
      </c>
      <c r="C41" s="109">
        <f t="shared" si="10"/>
        <v>30</v>
      </c>
      <c r="D41" s="109">
        <f t="shared" si="10"/>
        <v>156</v>
      </c>
      <c r="E41" s="109">
        <f t="shared" si="10"/>
        <v>156</v>
      </c>
      <c r="F41" s="109">
        <f t="shared" si="10"/>
        <v>156</v>
      </c>
      <c r="G41" s="120">
        <f t="shared" si="10"/>
        <v>45000</v>
      </c>
      <c r="H41" s="129">
        <f t="shared" si="10"/>
        <v>255325.5</v>
      </c>
      <c r="I41" s="129">
        <f t="shared" si="10"/>
        <v>0</v>
      </c>
      <c r="J41" s="129">
        <f t="shared" si="10"/>
        <v>3234.782608695652</v>
      </c>
      <c r="K41" s="121">
        <f t="shared" si="10"/>
        <v>1</v>
      </c>
      <c r="L41" s="122">
        <f>COUNTIF($C$36:C41,"&gt;0")*$B$8</f>
        <v>120648</v>
      </c>
      <c r="M41" s="122">
        <f t="shared" si="15"/>
        <v>134440.72580645164</v>
      </c>
      <c r="N41" s="122">
        <f t="shared" si="13"/>
        <v>134440.72580645164</v>
      </c>
      <c r="O41" s="123"/>
      <c r="P41" s="123"/>
      <c r="Q41" s="123"/>
      <c r="R41" s="122">
        <f t="shared" si="16"/>
        <v>2074.3333333333344</v>
      </c>
      <c r="S41" s="112"/>
      <c r="T41" s="44">
        <f t="shared" si="14"/>
        <v>10.371666666666671</v>
      </c>
      <c r="U41" s="62"/>
      <c r="V41" s="63"/>
    </row>
    <row r="42" spans="1:27" s="64" customFormat="1" x14ac:dyDescent="0.25">
      <c r="A42" s="113" t="s">
        <v>7</v>
      </c>
      <c r="B42" s="108">
        <v>7</v>
      </c>
      <c r="C42" s="109">
        <f t="shared" si="10"/>
        <v>30</v>
      </c>
      <c r="D42" s="109">
        <f t="shared" si="10"/>
        <v>156</v>
      </c>
      <c r="E42" s="109">
        <f t="shared" si="10"/>
        <v>156</v>
      </c>
      <c r="F42" s="109">
        <f t="shared" si="10"/>
        <v>156</v>
      </c>
      <c r="G42" s="120">
        <f t="shared" si="10"/>
        <v>45000</v>
      </c>
      <c r="H42" s="129">
        <f t="shared" si="10"/>
        <v>300325.5</v>
      </c>
      <c r="I42" s="129">
        <f t="shared" si="10"/>
        <v>0</v>
      </c>
      <c r="J42" s="129">
        <f t="shared" si="10"/>
        <v>3234.782608695652</v>
      </c>
      <c r="K42" s="121">
        <f t="shared" si="10"/>
        <v>1</v>
      </c>
      <c r="L42" s="122">
        <f>COUNTIF($C$36:C42,"&gt;0")*$B$8</f>
        <v>140756</v>
      </c>
      <c r="M42" s="122">
        <f t="shared" si="15"/>
        <v>159332.72580645164</v>
      </c>
      <c r="N42" s="122">
        <f t="shared" si="13"/>
        <v>159332.72580645164</v>
      </c>
      <c r="O42" s="123"/>
      <c r="P42" s="123"/>
      <c r="Q42" s="123"/>
      <c r="R42" s="122">
        <f t="shared" si="16"/>
        <v>2074.3333333333335</v>
      </c>
      <c r="S42" s="112"/>
      <c r="T42" s="44">
        <f t="shared" si="14"/>
        <v>10.371666666666668</v>
      </c>
      <c r="U42" s="62"/>
      <c r="V42" s="63"/>
    </row>
    <row r="43" spans="1:27" s="64" customFormat="1" x14ac:dyDescent="0.25">
      <c r="A43" s="113" t="s">
        <v>8</v>
      </c>
      <c r="B43" s="108">
        <v>8</v>
      </c>
      <c r="C43" s="109">
        <f t="shared" si="10"/>
        <v>30</v>
      </c>
      <c r="D43" s="109">
        <f t="shared" si="10"/>
        <v>156</v>
      </c>
      <c r="E43" s="109">
        <f t="shared" si="10"/>
        <v>156</v>
      </c>
      <c r="F43" s="109">
        <f t="shared" si="10"/>
        <v>156</v>
      </c>
      <c r="G43" s="120">
        <f t="shared" si="10"/>
        <v>45000</v>
      </c>
      <c r="H43" s="129">
        <f t="shared" si="10"/>
        <v>345325.5</v>
      </c>
      <c r="I43" s="129">
        <f t="shared" si="10"/>
        <v>0</v>
      </c>
      <c r="J43" s="129">
        <f t="shared" si="10"/>
        <v>3234.782608695652</v>
      </c>
      <c r="K43" s="121">
        <f t="shared" si="10"/>
        <v>1</v>
      </c>
      <c r="L43" s="122">
        <f>COUNTIF($C$36:C43,"&gt;0")*$B$8</f>
        <v>160864</v>
      </c>
      <c r="M43" s="122">
        <f t="shared" si="15"/>
        <v>184224.72580645164</v>
      </c>
      <c r="N43" s="122">
        <f t="shared" si="13"/>
        <v>184224.72580645164</v>
      </c>
      <c r="O43" s="123"/>
      <c r="P43" s="123"/>
      <c r="Q43" s="123"/>
      <c r="R43" s="122">
        <f t="shared" si="16"/>
        <v>2074.3333333333335</v>
      </c>
      <c r="S43" s="112"/>
      <c r="T43" s="44">
        <f t="shared" si="14"/>
        <v>10.371666666666668</v>
      </c>
      <c r="U43" s="62"/>
      <c r="V43" s="63"/>
    </row>
    <row r="44" spans="1:27" s="64" customFormat="1" x14ac:dyDescent="0.25">
      <c r="A44" s="113" t="s">
        <v>9</v>
      </c>
      <c r="B44" s="108">
        <v>9</v>
      </c>
      <c r="C44" s="109">
        <f t="shared" si="10"/>
        <v>30</v>
      </c>
      <c r="D44" s="109">
        <f t="shared" si="10"/>
        <v>156</v>
      </c>
      <c r="E44" s="109">
        <f t="shared" si="10"/>
        <v>156</v>
      </c>
      <c r="F44" s="109">
        <f t="shared" si="10"/>
        <v>156</v>
      </c>
      <c r="G44" s="120">
        <f t="shared" si="10"/>
        <v>45000</v>
      </c>
      <c r="H44" s="129">
        <f t="shared" si="10"/>
        <v>390325.5</v>
      </c>
      <c r="I44" s="129">
        <f t="shared" si="10"/>
        <v>0</v>
      </c>
      <c r="J44" s="129">
        <f t="shared" si="10"/>
        <v>3234.782608695652</v>
      </c>
      <c r="K44" s="121">
        <f t="shared" si="10"/>
        <v>1</v>
      </c>
      <c r="L44" s="122">
        <f>COUNTIF($C$36:C44,"&gt;0")*$B$8</f>
        <v>180972</v>
      </c>
      <c r="M44" s="122">
        <f t="shared" si="15"/>
        <v>209116.72580645164</v>
      </c>
      <c r="N44" s="122">
        <f t="shared" si="13"/>
        <v>209116.72580645164</v>
      </c>
      <c r="O44" s="123"/>
      <c r="P44" s="123"/>
      <c r="Q44" s="123"/>
      <c r="R44" s="122">
        <f t="shared" si="16"/>
        <v>2074.3333333333335</v>
      </c>
      <c r="S44" s="112"/>
      <c r="T44" s="44">
        <f t="shared" si="14"/>
        <v>10.371666666666668</v>
      </c>
      <c r="U44" s="62"/>
      <c r="V44" s="63"/>
    </row>
    <row r="45" spans="1:27" s="64" customFormat="1" x14ac:dyDescent="0.25">
      <c r="A45" s="113" t="s">
        <v>10</v>
      </c>
      <c r="B45" s="108">
        <v>10</v>
      </c>
      <c r="C45" s="109">
        <f t="shared" si="10"/>
        <v>30</v>
      </c>
      <c r="D45" s="109">
        <f t="shared" si="10"/>
        <v>156</v>
      </c>
      <c r="E45" s="109">
        <f t="shared" si="10"/>
        <v>156</v>
      </c>
      <c r="F45" s="109">
        <f t="shared" si="10"/>
        <v>156</v>
      </c>
      <c r="G45" s="120">
        <f t="shared" si="10"/>
        <v>45000</v>
      </c>
      <c r="H45" s="129">
        <f t="shared" si="10"/>
        <v>435325.5</v>
      </c>
      <c r="I45" s="129">
        <f t="shared" si="10"/>
        <v>0</v>
      </c>
      <c r="J45" s="129">
        <f t="shared" si="10"/>
        <v>3234.782608695652</v>
      </c>
      <c r="K45" s="121">
        <f t="shared" si="10"/>
        <v>1</v>
      </c>
      <c r="L45" s="122">
        <f>COUNTIF($C$36:C45,"&gt;0")*$B$8</f>
        <v>201080</v>
      </c>
      <c r="M45" s="122">
        <f t="shared" si="15"/>
        <v>234008.72580645164</v>
      </c>
      <c r="N45" s="122">
        <f t="shared" si="13"/>
        <v>234008.72580645164</v>
      </c>
      <c r="O45" s="123"/>
      <c r="P45" s="123"/>
      <c r="Q45" s="123"/>
      <c r="R45" s="122">
        <f t="shared" si="16"/>
        <v>2074.3333333333335</v>
      </c>
      <c r="S45" s="112"/>
      <c r="T45" s="44">
        <f t="shared" si="14"/>
        <v>10.371666666666668</v>
      </c>
      <c r="U45" s="62"/>
      <c r="V45" s="63"/>
    </row>
    <row r="46" spans="1:27" s="64" customFormat="1" x14ac:dyDescent="0.25">
      <c r="A46" s="113" t="s">
        <v>11</v>
      </c>
      <c r="B46" s="108">
        <v>11</v>
      </c>
      <c r="C46" s="109">
        <f t="shared" si="10"/>
        <v>30</v>
      </c>
      <c r="D46" s="109">
        <f t="shared" si="10"/>
        <v>156</v>
      </c>
      <c r="E46" s="109">
        <f t="shared" si="10"/>
        <v>156</v>
      </c>
      <c r="F46" s="109">
        <f t="shared" si="10"/>
        <v>156</v>
      </c>
      <c r="G46" s="120">
        <f t="shared" si="10"/>
        <v>45000</v>
      </c>
      <c r="H46" s="129">
        <f t="shared" si="10"/>
        <v>480325.5</v>
      </c>
      <c r="I46" s="129">
        <f t="shared" si="10"/>
        <v>0</v>
      </c>
      <c r="J46" s="129">
        <f t="shared" si="10"/>
        <v>3234.782608695652</v>
      </c>
      <c r="K46" s="121">
        <f t="shared" si="10"/>
        <v>1</v>
      </c>
      <c r="L46" s="122">
        <f>COUNTIF($C$36:C46,"&gt;0")*$B$8</f>
        <v>221188</v>
      </c>
      <c r="M46" s="122">
        <f t="shared" si="15"/>
        <v>258900.72580645164</v>
      </c>
      <c r="N46" s="122">
        <f t="shared" si="13"/>
        <v>258900.72580645164</v>
      </c>
      <c r="O46" s="123"/>
      <c r="P46" s="123"/>
      <c r="Q46" s="123"/>
      <c r="R46" s="122">
        <f t="shared" si="16"/>
        <v>2074.3333333333335</v>
      </c>
      <c r="S46" s="112"/>
      <c r="T46" s="44">
        <f t="shared" si="14"/>
        <v>10.371666666666668</v>
      </c>
      <c r="U46" s="62"/>
      <c r="V46" s="63"/>
    </row>
    <row r="47" spans="1:27" s="64" customFormat="1" x14ac:dyDescent="0.25">
      <c r="A47" s="113" t="s">
        <v>12</v>
      </c>
      <c r="B47" s="108">
        <v>12</v>
      </c>
      <c r="C47" s="109">
        <f t="shared" si="10"/>
        <v>30</v>
      </c>
      <c r="D47" s="109">
        <f t="shared" si="10"/>
        <v>156</v>
      </c>
      <c r="E47" s="109">
        <f t="shared" si="10"/>
        <v>156</v>
      </c>
      <c r="F47" s="109">
        <f t="shared" si="10"/>
        <v>156</v>
      </c>
      <c r="G47" s="120">
        <f t="shared" si="10"/>
        <v>45000</v>
      </c>
      <c r="H47" s="129">
        <f t="shared" si="10"/>
        <v>525325.5</v>
      </c>
      <c r="I47" s="129">
        <f t="shared" si="10"/>
        <v>0</v>
      </c>
      <c r="J47" s="129">
        <f t="shared" si="10"/>
        <v>3234.782608695652</v>
      </c>
      <c r="K47" s="121">
        <f t="shared" si="10"/>
        <v>1</v>
      </c>
      <c r="L47" s="122">
        <f>COUNTIF($C$36:C47,"&gt;0")*$B$8</f>
        <v>241296</v>
      </c>
      <c r="M47" s="122">
        <f t="shared" si="15"/>
        <v>283792.72580645164</v>
      </c>
      <c r="N47" s="122">
        <f t="shared" si="13"/>
        <v>283792.72580645164</v>
      </c>
      <c r="O47" s="123"/>
      <c r="P47" s="123"/>
      <c r="Q47" s="123"/>
      <c r="R47" s="122">
        <f t="shared" si="16"/>
        <v>2074.3333333333335</v>
      </c>
      <c r="S47" s="112"/>
      <c r="T47" s="44">
        <f t="shared" si="14"/>
        <v>10.371666666666668</v>
      </c>
      <c r="U47" s="62"/>
      <c r="V47" s="63"/>
    </row>
    <row r="48" spans="1:27" x14ac:dyDescent="0.25">
      <c r="A48" s="70"/>
      <c r="B48" s="35">
        <v>13</v>
      </c>
      <c r="C48" s="70"/>
      <c r="D48" s="70"/>
      <c r="E48" s="70"/>
      <c r="F48" s="70"/>
      <c r="G48" s="71"/>
      <c r="H48" s="70"/>
      <c r="I48" s="70"/>
      <c r="J48" s="70"/>
      <c r="K48" s="70"/>
      <c r="L48" s="70"/>
      <c r="M48" s="70"/>
      <c r="N48" s="70"/>
      <c r="O48" s="76"/>
      <c r="P48" s="77"/>
      <c r="Q48" s="77"/>
      <c r="R48" s="77"/>
      <c r="S48" s="76"/>
      <c r="T48" s="10"/>
      <c r="U48" s="51"/>
    </row>
    <row r="49" spans="1:21" x14ac:dyDescent="0.25">
      <c r="A49" s="115" t="s">
        <v>13</v>
      </c>
      <c r="B49" s="115"/>
      <c r="C49" s="115"/>
      <c r="D49" s="115"/>
      <c r="E49" s="115"/>
      <c r="F49" s="115"/>
      <c r="G49" s="116"/>
      <c r="H49" s="116"/>
      <c r="I49" s="116"/>
      <c r="J49" s="116"/>
      <c r="K49" s="115"/>
      <c r="L49" s="115"/>
      <c r="M49" s="115"/>
      <c r="N49" s="115"/>
      <c r="O49" s="116"/>
      <c r="P49" s="116"/>
      <c r="Q49" s="116"/>
      <c r="R49" s="116"/>
      <c r="S49" s="115"/>
      <c r="T49" s="117">
        <f>MAX(SUM(T36:T47),0)</f>
        <v>118.24696908602154</v>
      </c>
      <c r="U49" s="5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3"/>
  <dimension ref="A1:AK51"/>
  <sheetViews>
    <sheetView showGridLines="0" zoomScaleNormal="100" workbookViewId="0">
      <selection activeCell="A16" sqref="A16"/>
    </sheetView>
  </sheetViews>
  <sheetFormatPr defaultColWidth="0" defaultRowHeight="15" x14ac:dyDescent="0.25"/>
  <cols>
    <col min="1" max="1" width="34.28515625" style="52" bestFit="1" customWidth="1"/>
    <col min="2" max="2" width="12.85546875" style="52" bestFit="1" customWidth="1"/>
    <col min="3" max="3" width="12.85546875" style="52" customWidth="1"/>
    <col min="4" max="6" width="11.85546875" style="52" bestFit="1" customWidth="1"/>
    <col min="7" max="7" width="15.42578125" style="52" bestFit="1" customWidth="1"/>
    <col min="8" max="8" width="14.42578125" style="52" customWidth="1"/>
    <col min="9" max="9" width="15.7109375" style="52" bestFit="1" customWidth="1"/>
    <col min="10" max="10" width="19.85546875" style="52" bestFit="1" customWidth="1"/>
    <col min="11" max="11" width="16.5703125" style="52" customWidth="1"/>
    <col min="12" max="12" width="12.85546875" style="52" customWidth="1"/>
    <col min="13" max="14" width="18.140625" style="52" customWidth="1"/>
    <col min="15" max="15" width="14.5703125" style="52" customWidth="1"/>
    <col min="16" max="16" width="14.140625" style="52" customWidth="1"/>
    <col min="17" max="17" width="17.42578125" style="52" customWidth="1"/>
    <col min="18" max="18" width="18.42578125" style="52" customWidth="1"/>
    <col min="19" max="19" width="3" style="52" customWidth="1"/>
    <col min="20" max="20" width="12.42578125" style="52" customWidth="1"/>
    <col min="21" max="21" width="12" style="52" customWidth="1"/>
    <col min="22" max="22" width="11.42578125" style="52" hidden="1" customWidth="1"/>
    <col min="23" max="23" width="11.5703125" style="52" hidden="1" customWidth="1"/>
    <col min="24" max="24" width="16.28515625" style="52" hidden="1" customWidth="1"/>
    <col min="25" max="25" width="9.140625" style="52" hidden="1" customWidth="1"/>
    <col min="26" max="26" width="7.85546875" style="52" hidden="1" customWidth="1"/>
    <col min="27" max="37" width="11.42578125" style="52" hidden="1" customWidth="1"/>
    <col min="38" max="16384" width="9.140625" style="52" hidden="1"/>
  </cols>
  <sheetData>
    <row r="1" spans="1:27" ht="15.75" thickBot="1" x14ac:dyDescent="0.3">
      <c r="A1" s="152" t="s">
        <v>24</v>
      </c>
      <c r="B1" s="153"/>
      <c r="C1" s="78"/>
      <c r="D1" s="39"/>
      <c r="E1" s="39"/>
      <c r="F1" s="39"/>
      <c r="G1" s="39"/>
      <c r="H1" s="39"/>
      <c r="I1" s="39"/>
      <c r="J1" s="39"/>
      <c r="K1" s="39"/>
      <c r="L1" s="78"/>
      <c r="M1" s="78"/>
      <c r="N1" s="78"/>
      <c r="O1" s="78"/>
      <c r="P1" s="78"/>
      <c r="Q1" s="78"/>
      <c r="R1" s="78"/>
      <c r="S1" s="78"/>
      <c r="T1" s="78"/>
      <c r="U1" s="51"/>
    </row>
    <row r="2" spans="1:27" ht="15.75" thickBot="1" x14ac:dyDescent="0.3">
      <c r="A2" s="1" t="s">
        <v>20</v>
      </c>
      <c r="B2" s="5">
        <v>31413</v>
      </c>
      <c r="C2" s="36"/>
      <c r="D2" s="39"/>
      <c r="E2" s="39"/>
      <c r="F2" s="39"/>
      <c r="G2" s="39"/>
      <c r="H2" s="39"/>
      <c r="I2" s="39"/>
      <c r="L2" s="38"/>
      <c r="M2" s="39"/>
      <c r="N2" s="39"/>
    </row>
    <row r="3" spans="1:27" ht="17.25" customHeight="1" thickBot="1" x14ac:dyDescent="0.3">
      <c r="A3" s="2" t="s">
        <v>59</v>
      </c>
      <c r="B3" s="79">
        <v>42736</v>
      </c>
      <c r="C3" s="80"/>
      <c r="D3" s="39"/>
      <c r="E3" s="39"/>
      <c r="F3" s="39"/>
      <c r="G3" s="39"/>
      <c r="H3" s="39"/>
      <c r="I3" s="39"/>
      <c r="L3" s="40"/>
      <c r="M3" s="39"/>
      <c r="N3" s="39"/>
      <c r="W3" s="81" t="s">
        <v>21</v>
      </c>
      <c r="X3" s="82" t="s">
        <v>22</v>
      </c>
      <c r="Z3" s="83" t="s">
        <v>21</v>
      </c>
      <c r="AA3" s="84" t="s">
        <v>23</v>
      </c>
    </row>
    <row r="4" spans="1:27" ht="15.75" thickBot="1" x14ac:dyDescent="0.3">
      <c r="A4" s="2" t="s">
        <v>60</v>
      </c>
      <c r="B4" s="79">
        <v>43100</v>
      </c>
      <c r="C4" s="85"/>
      <c r="D4" s="39"/>
      <c r="E4" s="39"/>
      <c r="F4" s="39"/>
      <c r="G4" s="39"/>
      <c r="H4" s="39"/>
      <c r="I4" s="39"/>
      <c r="L4" s="38"/>
      <c r="M4" s="39"/>
      <c r="N4" s="39"/>
      <c r="W4" s="86">
        <f>(YEAR(B3)-YEAR(B2))+((MONTH(B3)-MONTH(B2))/12)+((DAY(B3)-DAY(B2))/360)</f>
        <v>31</v>
      </c>
      <c r="X4" s="87">
        <f>ROUNDDOWN(W4,0)</f>
        <v>31</v>
      </c>
      <c r="Z4" s="53">
        <v>15</v>
      </c>
      <c r="AA4" s="54">
        <v>6032</v>
      </c>
    </row>
    <row r="5" spans="1:27" x14ac:dyDescent="0.25">
      <c r="A5" s="2" t="s">
        <v>51</v>
      </c>
      <c r="B5" s="88">
        <v>50000</v>
      </c>
      <c r="C5" s="85"/>
      <c r="D5" s="39"/>
      <c r="E5" s="39"/>
      <c r="F5" s="39"/>
      <c r="G5" s="39"/>
      <c r="H5" s="39"/>
      <c r="I5" s="39"/>
      <c r="L5" s="40"/>
      <c r="M5" s="39"/>
      <c r="N5" s="39"/>
      <c r="W5" s="85"/>
      <c r="X5" s="85"/>
      <c r="Z5" s="55"/>
      <c r="AA5" s="56"/>
    </row>
    <row r="6" spans="1:27" x14ac:dyDescent="0.25">
      <c r="A6" s="2" t="s">
        <v>52</v>
      </c>
      <c r="B6" s="89">
        <v>144</v>
      </c>
      <c r="C6" s="85"/>
      <c r="D6" s="39"/>
      <c r="E6" s="39"/>
      <c r="F6" s="39"/>
      <c r="G6" s="39"/>
      <c r="H6" s="39"/>
      <c r="I6" s="39"/>
      <c r="L6" s="40"/>
      <c r="M6" s="39"/>
      <c r="N6" s="39"/>
      <c r="W6" s="85"/>
      <c r="X6" s="85"/>
      <c r="Z6" s="55"/>
      <c r="AA6" s="56"/>
    </row>
    <row r="7" spans="1:27" x14ac:dyDescent="0.25">
      <c r="A7" s="2" t="s">
        <v>61</v>
      </c>
      <c r="B7" s="90">
        <v>11829</v>
      </c>
      <c r="C7" s="91"/>
      <c r="D7" s="39"/>
      <c r="E7" s="39"/>
      <c r="H7" s="39"/>
      <c r="I7" s="39"/>
      <c r="L7" s="40"/>
      <c r="M7" s="39"/>
      <c r="N7" s="39"/>
      <c r="Z7" s="55">
        <v>16</v>
      </c>
      <c r="AA7" s="56">
        <v>6937</v>
      </c>
    </row>
    <row r="8" spans="1:27" x14ac:dyDescent="0.25">
      <c r="A8" s="2" t="s">
        <v>14</v>
      </c>
      <c r="B8" s="90">
        <f>IFERROR(VLOOKUP(X4,Z4:AA13,2,FALSE),20108)</f>
        <v>20108</v>
      </c>
      <c r="C8" s="91"/>
      <c r="D8" s="39"/>
      <c r="E8" s="39"/>
      <c r="G8" s="39"/>
      <c r="H8" s="39"/>
      <c r="I8" s="39"/>
      <c r="L8" s="41"/>
      <c r="M8" s="9"/>
      <c r="N8" s="9"/>
      <c r="O8" s="1"/>
      <c r="P8" s="1"/>
      <c r="Z8" s="55">
        <v>17</v>
      </c>
      <c r="AA8" s="56">
        <v>7943</v>
      </c>
    </row>
    <row r="9" spans="1:27" x14ac:dyDescent="0.25">
      <c r="A9" s="2" t="s">
        <v>62</v>
      </c>
      <c r="B9" s="90">
        <v>103317</v>
      </c>
      <c r="C9" s="91"/>
      <c r="D9" s="39"/>
      <c r="E9" s="39"/>
      <c r="G9" s="39"/>
      <c r="H9" s="39"/>
      <c r="I9" s="39"/>
      <c r="J9" s="39"/>
      <c r="K9" s="39"/>
      <c r="L9" s="37"/>
      <c r="M9" s="57"/>
      <c r="N9" s="57"/>
      <c r="Z9" s="55">
        <v>18</v>
      </c>
      <c r="AA9" s="56">
        <v>9149</v>
      </c>
    </row>
    <row r="10" spans="1:27" x14ac:dyDescent="0.25">
      <c r="A10" s="2" t="s">
        <v>63</v>
      </c>
      <c r="B10" s="92">
        <v>0.23499999999999999</v>
      </c>
      <c r="C10" s="93"/>
      <c r="D10" s="39"/>
      <c r="E10" s="39"/>
      <c r="G10" s="39"/>
      <c r="H10" s="39"/>
      <c r="I10" s="39"/>
      <c r="J10" s="39"/>
      <c r="K10" s="39"/>
      <c r="L10" s="42"/>
      <c r="Q10" s="58"/>
      <c r="R10" s="58"/>
      <c r="Z10" s="55">
        <v>19</v>
      </c>
      <c r="AA10" s="56">
        <v>10557</v>
      </c>
    </row>
    <row r="11" spans="1:27" ht="15.75" thickBot="1" x14ac:dyDescent="0.3">
      <c r="A11" s="3" t="s">
        <v>15</v>
      </c>
      <c r="B11" s="94">
        <v>5.0000000000000001E-3</v>
      </c>
      <c r="C11" s="95"/>
      <c r="D11" s="34"/>
      <c r="E11" s="34"/>
      <c r="F11" s="32"/>
      <c r="G11" s="34"/>
      <c r="H11" s="34"/>
      <c r="I11" s="33"/>
      <c r="J11" s="59"/>
      <c r="Z11" s="55">
        <v>20</v>
      </c>
      <c r="AA11" s="56">
        <v>12367</v>
      </c>
    </row>
    <row r="12" spans="1:27" ht="15.75" thickBot="1" x14ac:dyDescent="0.3">
      <c r="D12" s="59"/>
      <c r="E12" s="59"/>
      <c r="F12" s="59"/>
      <c r="G12" s="59"/>
      <c r="H12" s="59"/>
      <c r="I12" s="59"/>
      <c r="J12" s="59"/>
      <c r="K12" s="59"/>
      <c r="Z12" s="55">
        <v>21</v>
      </c>
      <c r="AA12" s="56">
        <v>14578</v>
      </c>
    </row>
    <row r="13" spans="1:27" ht="15.75" thickBot="1" x14ac:dyDescent="0.3">
      <c r="A13" s="96" t="s">
        <v>76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8"/>
      <c r="Z13" s="60">
        <v>22</v>
      </c>
      <c r="AA13" s="8">
        <v>17092</v>
      </c>
    </row>
    <row r="14" spans="1:27" ht="60" x14ac:dyDescent="0.25">
      <c r="A14" s="99" t="s">
        <v>47</v>
      </c>
      <c r="B14" s="99" t="s">
        <v>48</v>
      </c>
      <c r="C14" s="99" t="s">
        <v>64</v>
      </c>
      <c r="D14" s="99" t="s">
        <v>65</v>
      </c>
      <c r="E14" s="99" t="s">
        <v>52</v>
      </c>
      <c r="F14" s="99" t="s">
        <v>66</v>
      </c>
      <c r="G14" s="100" t="s">
        <v>51</v>
      </c>
      <c r="H14" s="100" t="s">
        <v>67</v>
      </c>
      <c r="I14" s="100" t="s">
        <v>53</v>
      </c>
      <c r="J14" s="100" t="s">
        <v>77</v>
      </c>
      <c r="K14" s="99" t="s">
        <v>19</v>
      </c>
      <c r="L14" s="100" t="s">
        <v>35</v>
      </c>
      <c r="M14" s="99" t="s">
        <v>72</v>
      </c>
      <c r="N14" s="99" t="s">
        <v>73</v>
      </c>
      <c r="O14" s="99" t="s">
        <v>33</v>
      </c>
      <c r="P14" s="99" t="s">
        <v>32</v>
      </c>
      <c r="Q14" s="100" t="s">
        <v>34</v>
      </c>
      <c r="R14" s="100" t="s">
        <v>71</v>
      </c>
      <c r="S14" s="99"/>
      <c r="T14" s="99" t="s">
        <v>54</v>
      </c>
      <c r="U14" s="51"/>
    </row>
    <row r="15" spans="1:27" x14ac:dyDescent="0.25">
      <c r="A15" s="101"/>
      <c r="B15" s="101"/>
      <c r="C15" s="102"/>
      <c r="D15" s="102"/>
      <c r="E15" s="102"/>
      <c r="F15" s="102"/>
      <c r="G15" s="58"/>
      <c r="H15" s="58"/>
      <c r="I15" s="103"/>
      <c r="J15" s="104"/>
      <c r="K15" s="104"/>
      <c r="L15" s="104"/>
      <c r="M15" s="105"/>
      <c r="N15" s="105"/>
      <c r="O15" s="105"/>
      <c r="Q15" s="106"/>
      <c r="R15" s="106"/>
      <c r="S15" s="104"/>
      <c r="T15" s="61"/>
      <c r="U15" s="51"/>
      <c r="V15" s="57"/>
    </row>
    <row r="16" spans="1:27" s="64" customFormat="1" x14ac:dyDescent="0.25">
      <c r="A16" s="107">
        <v>42737</v>
      </c>
      <c r="B16" s="108">
        <v>1</v>
      </c>
      <c r="C16" s="109">
        <f>MAX(0,MIN(28,$B$4-A16+1))-MIN(28,MAX(0,$B$3-A16))</f>
        <v>28</v>
      </c>
      <c r="D16" s="45">
        <v>144</v>
      </c>
      <c r="E16" s="110">
        <f>B$6</f>
        <v>144</v>
      </c>
      <c r="F16" s="109">
        <f>IF(SUM(C16:$C$28)=0,"",E16*C16/28)</f>
        <v>144</v>
      </c>
      <c r="G16" s="46">
        <f t="shared" ref="G16:G28" si="0">FT_jaar_salaris</f>
        <v>50000</v>
      </c>
      <c r="H16" s="125">
        <f>SUMPRODUCT($G$16:G16,$K$16:K16)</f>
        <v>50000</v>
      </c>
      <c r="I16" s="130">
        <v>1000</v>
      </c>
      <c r="J16" s="131">
        <f>IF(C16=0,J15,SUM(I16)*13*28/C16+J15)</f>
        <v>13000</v>
      </c>
      <c r="K16" s="111">
        <f>IFERROR(IF(SUM(C16:$C$28)=0,"",ROUND(D16/F16,4)),0)</f>
        <v>1</v>
      </c>
      <c r="L16" s="122">
        <f>IFERROR(SUMPRODUCT($B$7*$K$16:K16),0)</f>
        <v>11829</v>
      </c>
      <c r="M16" s="122">
        <f>IF(K16="",M15,(H16+J16-J15-L16-H15+L15)*C16/28+M15)</f>
        <v>51171</v>
      </c>
      <c r="N16" s="122">
        <f t="shared" ref="N16:N28" si="1">MAX(0,M16)</f>
        <v>51171</v>
      </c>
      <c r="O16" s="122">
        <f t="shared" ref="O16:O28" si="2">IF(K16="",O15,($B$9-$B$7)*K16*C16/28+O15)</f>
        <v>91488</v>
      </c>
      <c r="P16" s="122">
        <f>($B$9-$B$7)*SUM($C$16:C16)/28</f>
        <v>91488</v>
      </c>
      <c r="Q16" s="122">
        <f t="shared" ref="Q16:Q28" si="3">MIN(N16,O16,P16)</f>
        <v>51171</v>
      </c>
      <c r="R16" s="122">
        <f>(Q16-Q15)/13</f>
        <v>3936.2307692307691</v>
      </c>
      <c r="S16" s="112"/>
      <c r="T16" s="44">
        <f>(Q16-Q15)/13*$B$10</f>
        <v>925.01423076923072</v>
      </c>
      <c r="U16" s="62"/>
      <c r="V16" s="63"/>
    </row>
    <row r="17" spans="1:23" s="64" customFormat="1" x14ac:dyDescent="0.25">
      <c r="A17" s="113">
        <v>42765</v>
      </c>
      <c r="B17" s="108">
        <v>2</v>
      </c>
      <c r="C17" s="109">
        <f t="shared" ref="C17:C28" si="4">MAX(0,MIN(28,$B$4-A17+1))-MIN(28,MAX(0,$B$3-A17))</f>
        <v>28</v>
      </c>
      <c r="D17" s="45">
        <v>144</v>
      </c>
      <c r="E17" s="110">
        <f t="shared" ref="E17:E28" si="5">B$6</f>
        <v>144</v>
      </c>
      <c r="F17" s="109">
        <f>IF(SUM(C17:$C$28)=0,"",E17*C17/28)</f>
        <v>144</v>
      </c>
      <c r="G17" s="46">
        <f t="shared" si="0"/>
        <v>50000</v>
      </c>
      <c r="H17" s="125">
        <f>SUMPRODUCT($G$16:G17,$K$16:K17)</f>
        <v>100000</v>
      </c>
      <c r="I17" s="130"/>
      <c r="J17" s="131">
        <f>IF(C17=0,J16,SUM(I17)*13*28/C17+J16)</f>
        <v>13000</v>
      </c>
      <c r="K17" s="111">
        <f>IFERROR(IF(SUM(C17:$C$28)=0,"",ROUND(D17/F17,4)),0)</f>
        <v>1</v>
      </c>
      <c r="L17" s="122">
        <f>IFERROR(SUMPRODUCT($B$7*$K$16:K17),0)</f>
        <v>23658</v>
      </c>
      <c r="M17" s="122">
        <f>IF(K17="",M16,(H17+J17-J16-L17-H16+L16)*C17/28+M16)</f>
        <v>89342</v>
      </c>
      <c r="N17" s="122">
        <f t="shared" si="1"/>
        <v>89342</v>
      </c>
      <c r="O17" s="122">
        <f t="shared" si="2"/>
        <v>182976</v>
      </c>
      <c r="P17" s="122">
        <f>($B$9-$B$7)*SUM($C$16:C17)/28</f>
        <v>182976</v>
      </c>
      <c r="Q17" s="122">
        <f t="shared" si="3"/>
        <v>89342</v>
      </c>
      <c r="R17" s="122">
        <f t="shared" ref="R17:R28" si="6">(Q17-Q16)/13</f>
        <v>2936.2307692307691</v>
      </c>
      <c r="S17" s="65"/>
      <c r="T17" s="44">
        <f t="shared" ref="T17:T28" si="7">(Q17-Q16)/13*$B$10</f>
        <v>690.01423076923072</v>
      </c>
      <c r="U17" s="62"/>
      <c r="V17" s="63"/>
    </row>
    <row r="18" spans="1:23" s="64" customFormat="1" x14ac:dyDescent="0.25">
      <c r="A18" s="113">
        <v>42793</v>
      </c>
      <c r="B18" s="108">
        <v>3</v>
      </c>
      <c r="C18" s="109">
        <f t="shared" si="4"/>
        <v>28</v>
      </c>
      <c r="D18" s="45">
        <v>144</v>
      </c>
      <c r="E18" s="110">
        <f t="shared" si="5"/>
        <v>144</v>
      </c>
      <c r="F18" s="109">
        <f>IF(SUM(C18:$C$28)=0,"",E18*C18/28)</f>
        <v>144</v>
      </c>
      <c r="G18" s="46">
        <f t="shared" si="0"/>
        <v>50000</v>
      </c>
      <c r="H18" s="125">
        <f>SUMPRODUCT($G$16:G18,$K$16:K18)</f>
        <v>150000</v>
      </c>
      <c r="I18" s="130"/>
      <c r="J18" s="131">
        <f>SUM($I$16:I18)*13</f>
        <v>13000</v>
      </c>
      <c r="K18" s="111">
        <f>IFERROR(IF(SUM(C18:$C$28)=0,"",ROUND(D18/F18,4)),0)</f>
        <v>1</v>
      </c>
      <c r="L18" s="122">
        <f>IFERROR(SUMPRODUCT($B$7*$K$16:K18),0)</f>
        <v>35487</v>
      </c>
      <c r="M18" s="122">
        <f>IF(K18="",M17,(H18+J18-J17-L18-H17+L17)*C18/28+M17)</f>
        <v>127513</v>
      </c>
      <c r="N18" s="122">
        <f t="shared" si="1"/>
        <v>127513</v>
      </c>
      <c r="O18" s="122">
        <f t="shared" si="2"/>
        <v>274464</v>
      </c>
      <c r="P18" s="122">
        <f>($B$9-$B$7)*SUM($C$16:C18)/28</f>
        <v>274464</v>
      </c>
      <c r="Q18" s="122">
        <f t="shared" si="3"/>
        <v>127513</v>
      </c>
      <c r="R18" s="122">
        <f t="shared" si="6"/>
        <v>2936.2307692307691</v>
      </c>
      <c r="S18" s="65"/>
      <c r="T18" s="44">
        <f t="shared" si="7"/>
        <v>690.01423076923072</v>
      </c>
      <c r="U18" s="62"/>
      <c r="V18" s="66"/>
      <c r="W18" s="67"/>
    </row>
    <row r="19" spans="1:23" s="67" customFormat="1" x14ac:dyDescent="0.25">
      <c r="A19" s="113">
        <v>42821</v>
      </c>
      <c r="B19" s="114">
        <v>4</v>
      </c>
      <c r="C19" s="109">
        <f t="shared" si="4"/>
        <v>28</v>
      </c>
      <c r="D19" s="45">
        <v>144</v>
      </c>
      <c r="E19" s="110">
        <f t="shared" si="5"/>
        <v>144</v>
      </c>
      <c r="F19" s="109">
        <f>IF(SUM(C19:$C$28)=0,"",E19*C19/28)</f>
        <v>144</v>
      </c>
      <c r="G19" s="46">
        <f t="shared" si="0"/>
        <v>50000</v>
      </c>
      <c r="H19" s="125">
        <f>SUMPRODUCT($G$16:G19,$K$16:K19)</f>
        <v>200000</v>
      </c>
      <c r="I19" s="130"/>
      <c r="J19" s="131">
        <f>SUM($I$16:I19)*13</f>
        <v>13000</v>
      </c>
      <c r="K19" s="111">
        <f>IFERROR(IF(SUM(C19:$C$28)=0,"",ROUND(D19/F19,4)),0)</f>
        <v>1</v>
      </c>
      <c r="L19" s="122">
        <f>IFERROR(SUMPRODUCT($B$7*$K$16:K19),0)</f>
        <v>47316</v>
      </c>
      <c r="M19" s="122">
        <f>IF(K19="",M18,(H19+J19-J18-L19-H18+L18)*C19/28+M18)</f>
        <v>165684</v>
      </c>
      <c r="N19" s="122">
        <f t="shared" si="1"/>
        <v>165684</v>
      </c>
      <c r="O19" s="122">
        <f t="shared" si="2"/>
        <v>365952</v>
      </c>
      <c r="P19" s="122">
        <f>($B$9-$B$7)*SUM($C$16:C19)/28</f>
        <v>365952</v>
      </c>
      <c r="Q19" s="122">
        <f t="shared" si="3"/>
        <v>165684</v>
      </c>
      <c r="R19" s="122">
        <f t="shared" si="6"/>
        <v>2936.2307692307691</v>
      </c>
      <c r="S19" s="68"/>
      <c r="T19" s="44">
        <f t="shared" si="7"/>
        <v>690.01423076923072</v>
      </c>
      <c r="U19" s="62"/>
      <c r="V19" s="66"/>
    </row>
    <row r="20" spans="1:23" s="67" customFormat="1" x14ac:dyDescent="0.25">
      <c r="A20" s="113">
        <v>42849</v>
      </c>
      <c r="B20" s="114">
        <v>5</v>
      </c>
      <c r="C20" s="109">
        <f t="shared" si="4"/>
        <v>28</v>
      </c>
      <c r="D20" s="45">
        <v>144</v>
      </c>
      <c r="E20" s="110">
        <f t="shared" si="5"/>
        <v>144</v>
      </c>
      <c r="F20" s="109">
        <f>IF(SUM(C20:$C$28)=0,"",E20*C20/28)</f>
        <v>144</v>
      </c>
      <c r="G20" s="46">
        <f t="shared" si="0"/>
        <v>50000</v>
      </c>
      <c r="H20" s="125">
        <f>SUMPRODUCT($G$16:G20,$K$16:K20)</f>
        <v>250000</v>
      </c>
      <c r="I20" s="130"/>
      <c r="J20" s="131">
        <f>SUM($I$16:I20)*13</f>
        <v>13000</v>
      </c>
      <c r="K20" s="111">
        <f>IFERROR(IF(SUM(C20:$C$28)=0,"",ROUND(D20/F20,4)),0)</f>
        <v>1</v>
      </c>
      <c r="L20" s="122">
        <f>IFERROR(SUMPRODUCT($B$7*$K$16:K20),0)</f>
        <v>59145</v>
      </c>
      <c r="M20" s="122">
        <f t="shared" ref="M20:M26" si="8">IF(K20="",M19,(H20+J20-J19-L20-H19+L19)*C20/28+M19)</f>
        <v>203855</v>
      </c>
      <c r="N20" s="122">
        <f t="shared" si="1"/>
        <v>203855</v>
      </c>
      <c r="O20" s="122">
        <f t="shared" si="2"/>
        <v>457440</v>
      </c>
      <c r="P20" s="122">
        <f>($B$9-$B$7)*SUM($C$16:C20)/28</f>
        <v>457440</v>
      </c>
      <c r="Q20" s="122">
        <f t="shared" si="3"/>
        <v>203855</v>
      </c>
      <c r="R20" s="122">
        <f t="shared" si="6"/>
        <v>2936.2307692307691</v>
      </c>
      <c r="S20" s="68"/>
      <c r="T20" s="44">
        <f t="shared" si="7"/>
        <v>690.01423076923072</v>
      </c>
      <c r="U20" s="62"/>
    </row>
    <row r="21" spans="1:23" s="67" customFormat="1" x14ac:dyDescent="0.25">
      <c r="A21" s="113">
        <v>42877</v>
      </c>
      <c r="B21" s="114">
        <v>6</v>
      </c>
      <c r="C21" s="109">
        <f t="shared" si="4"/>
        <v>28</v>
      </c>
      <c r="D21" s="45">
        <v>144</v>
      </c>
      <c r="E21" s="110">
        <f t="shared" si="5"/>
        <v>144</v>
      </c>
      <c r="F21" s="109">
        <f>IF(SUM(C21:$C$28)=0,"",E21*C21/28)</f>
        <v>144</v>
      </c>
      <c r="G21" s="46">
        <f t="shared" si="0"/>
        <v>50000</v>
      </c>
      <c r="H21" s="125">
        <f>SUMPRODUCT($G$16:G21,$K$16:K21)</f>
        <v>300000</v>
      </c>
      <c r="I21" s="130"/>
      <c r="J21" s="131">
        <f>SUM($I$16:I21)*13</f>
        <v>13000</v>
      </c>
      <c r="K21" s="111">
        <f>IFERROR(IF(SUM(C21:$C$28)=0,"",ROUND(D21/F21,4)),0)</f>
        <v>1</v>
      </c>
      <c r="L21" s="122">
        <f>IFERROR(SUMPRODUCT($B$7*$K$16:K21),0)</f>
        <v>70974</v>
      </c>
      <c r="M21" s="122">
        <f t="shared" si="8"/>
        <v>242026</v>
      </c>
      <c r="N21" s="122">
        <f t="shared" si="1"/>
        <v>242026</v>
      </c>
      <c r="O21" s="122">
        <f t="shared" si="2"/>
        <v>548928</v>
      </c>
      <c r="P21" s="122">
        <f>($B$9-$B$7)*SUM($C$16:C21)/28</f>
        <v>548928</v>
      </c>
      <c r="Q21" s="122">
        <f t="shared" si="3"/>
        <v>242026</v>
      </c>
      <c r="R21" s="122">
        <f t="shared" si="6"/>
        <v>2936.2307692307691</v>
      </c>
      <c r="S21" s="68"/>
      <c r="T21" s="44">
        <f t="shared" si="7"/>
        <v>690.01423076923072</v>
      </c>
      <c r="U21" s="62"/>
    </row>
    <row r="22" spans="1:23" s="67" customFormat="1" x14ac:dyDescent="0.25">
      <c r="A22" s="113">
        <v>42905</v>
      </c>
      <c r="B22" s="114">
        <v>7</v>
      </c>
      <c r="C22" s="109">
        <f t="shared" si="4"/>
        <v>28</v>
      </c>
      <c r="D22" s="45">
        <v>144</v>
      </c>
      <c r="E22" s="110">
        <f t="shared" si="5"/>
        <v>144</v>
      </c>
      <c r="F22" s="109">
        <f>IF(SUM(C22:$C$28)=0,"",E22*C22/28)</f>
        <v>144</v>
      </c>
      <c r="G22" s="46">
        <f t="shared" si="0"/>
        <v>50000</v>
      </c>
      <c r="H22" s="125">
        <f>SUMPRODUCT($G$16:G22,$K$16:K22)</f>
        <v>350000</v>
      </c>
      <c r="I22" s="130"/>
      <c r="J22" s="131">
        <f>SUM($I$16:I22)*13</f>
        <v>13000</v>
      </c>
      <c r="K22" s="111">
        <f>IFERROR(IF(SUM(C22:$C$28)=0,"",ROUND(D22/F22,4)),0)</f>
        <v>1</v>
      </c>
      <c r="L22" s="122">
        <f>IFERROR(SUMPRODUCT($B$7*$K$16:K22),0)</f>
        <v>82803</v>
      </c>
      <c r="M22" s="122">
        <f t="shared" si="8"/>
        <v>280197</v>
      </c>
      <c r="N22" s="122">
        <f t="shared" si="1"/>
        <v>280197</v>
      </c>
      <c r="O22" s="122">
        <f t="shared" si="2"/>
        <v>640416</v>
      </c>
      <c r="P22" s="122">
        <f>($B$9-$B$7)*SUM($C$16:C22)/28</f>
        <v>640416</v>
      </c>
      <c r="Q22" s="122">
        <f t="shared" si="3"/>
        <v>280197</v>
      </c>
      <c r="R22" s="122">
        <f t="shared" si="6"/>
        <v>2936.2307692307691</v>
      </c>
      <c r="S22" s="68"/>
      <c r="T22" s="44">
        <f t="shared" si="7"/>
        <v>690.01423076923072</v>
      </c>
      <c r="U22" s="62"/>
    </row>
    <row r="23" spans="1:23" s="67" customFormat="1" x14ac:dyDescent="0.25">
      <c r="A23" s="113">
        <v>42933</v>
      </c>
      <c r="B23" s="114">
        <v>8</v>
      </c>
      <c r="C23" s="109">
        <f t="shared" si="4"/>
        <v>28</v>
      </c>
      <c r="D23" s="45">
        <v>144</v>
      </c>
      <c r="E23" s="110">
        <f t="shared" si="5"/>
        <v>144</v>
      </c>
      <c r="F23" s="109">
        <f>IF(SUM(C23:$C$28)=0,"",E23*C23/28)</f>
        <v>144</v>
      </c>
      <c r="G23" s="46">
        <f t="shared" si="0"/>
        <v>50000</v>
      </c>
      <c r="H23" s="125">
        <f>SUMPRODUCT($G$16:G23,$K$16:K23)</f>
        <v>400000</v>
      </c>
      <c r="I23" s="130"/>
      <c r="J23" s="131">
        <f>SUM($I$16:I23)*13</f>
        <v>13000</v>
      </c>
      <c r="K23" s="111">
        <f>IFERROR(IF(SUM(C23:$C$28)=0,"",ROUND(D23/F23,4)),0)</f>
        <v>1</v>
      </c>
      <c r="L23" s="122">
        <f>IFERROR(SUMPRODUCT($B$7*$K$16:K23),0)</f>
        <v>94632</v>
      </c>
      <c r="M23" s="122">
        <f t="shared" si="8"/>
        <v>318368</v>
      </c>
      <c r="N23" s="122">
        <f t="shared" si="1"/>
        <v>318368</v>
      </c>
      <c r="O23" s="122">
        <f t="shared" si="2"/>
        <v>731904</v>
      </c>
      <c r="P23" s="122">
        <f>($B$9-$B$7)*SUM($C$16:C23)/28</f>
        <v>731904</v>
      </c>
      <c r="Q23" s="122">
        <f t="shared" si="3"/>
        <v>318368</v>
      </c>
      <c r="R23" s="122">
        <f t="shared" si="6"/>
        <v>2936.2307692307691</v>
      </c>
      <c r="S23" s="68"/>
      <c r="T23" s="44">
        <f t="shared" si="7"/>
        <v>690.01423076923072</v>
      </c>
      <c r="U23" s="62"/>
      <c r="V23" s="69"/>
    </row>
    <row r="24" spans="1:23" s="67" customFormat="1" x14ac:dyDescent="0.25">
      <c r="A24" s="113">
        <v>42961</v>
      </c>
      <c r="B24" s="114">
        <v>9</v>
      </c>
      <c r="C24" s="109">
        <f t="shared" si="4"/>
        <v>28</v>
      </c>
      <c r="D24" s="45">
        <v>144</v>
      </c>
      <c r="E24" s="110">
        <f t="shared" si="5"/>
        <v>144</v>
      </c>
      <c r="F24" s="109">
        <f>IF(SUM(C24:$C$28)=0,"",E24*C24/28)</f>
        <v>144</v>
      </c>
      <c r="G24" s="46">
        <f t="shared" si="0"/>
        <v>50000</v>
      </c>
      <c r="H24" s="125">
        <f>SUMPRODUCT($G$16:G24,$K$16:K24)</f>
        <v>450000</v>
      </c>
      <c r="I24" s="130"/>
      <c r="J24" s="131">
        <f>SUM($I$16:I24)*13</f>
        <v>13000</v>
      </c>
      <c r="K24" s="111">
        <f>IFERROR(IF(SUM(C24:$C$28)=0,"",ROUND(D24/F24,4)),0)</f>
        <v>1</v>
      </c>
      <c r="L24" s="122">
        <f>IFERROR(SUMPRODUCT($B$7*$K$16:K24),0)</f>
        <v>106461</v>
      </c>
      <c r="M24" s="122">
        <f t="shared" si="8"/>
        <v>356539</v>
      </c>
      <c r="N24" s="122">
        <f t="shared" si="1"/>
        <v>356539</v>
      </c>
      <c r="O24" s="122">
        <f t="shared" si="2"/>
        <v>823392</v>
      </c>
      <c r="P24" s="122">
        <f>($B$9-$B$7)*SUM($C$16:C24)/28</f>
        <v>823392</v>
      </c>
      <c r="Q24" s="122">
        <f t="shared" si="3"/>
        <v>356539</v>
      </c>
      <c r="R24" s="122">
        <f t="shared" si="6"/>
        <v>2936.2307692307691</v>
      </c>
      <c r="S24" s="68"/>
      <c r="T24" s="44">
        <f t="shared" si="7"/>
        <v>690.01423076923072</v>
      </c>
      <c r="U24" s="62"/>
      <c r="V24" s="69"/>
    </row>
    <row r="25" spans="1:23" s="67" customFormat="1" x14ac:dyDescent="0.25">
      <c r="A25" s="113">
        <v>42989</v>
      </c>
      <c r="B25" s="114">
        <v>10</v>
      </c>
      <c r="C25" s="109">
        <f t="shared" si="4"/>
        <v>28</v>
      </c>
      <c r="D25" s="45">
        <v>144</v>
      </c>
      <c r="E25" s="110">
        <f t="shared" si="5"/>
        <v>144</v>
      </c>
      <c r="F25" s="109">
        <f>IF(SUM(C25:$C$28)=0,"",E25*C25/28)</f>
        <v>144</v>
      </c>
      <c r="G25" s="46">
        <f t="shared" si="0"/>
        <v>50000</v>
      </c>
      <c r="H25" s="125">
        <f>SUMPRODUCT($G$16:G25,$K$16:K25)</f>
        <v>500000</v>
      </c>
      <c r="I25" s="130"/>
      <c r="J25" s="131">
        <f>SUM($I$16:I25)*13</f>
        <v>13000</v>
      </c>
      <c r="K25" s="111">
        <f>IFERROR(IF(SUM(C25:$C$28)=0,"",ROUND(D25/F25,4)),0)</f>
        <v>1</v>
      </c>
      <c r="L25" s="122">
        <f>IFERROR(SUMPRODUCT($B$7*$K$16:K25),0)</f>
        <v>118290</v>
      </c>
      <c r="M25" s="122">
        <f t="shared" si="8"/>
        <v>394710</v>
      </c>
      <c r="N25" s="122">
        <f t="shared" si="1"/>
        <v>394710</v>
      </c>
      <c r="O25" s="122">
        <f t="shared" si="2"/>
        <v>914880</v>
      </c>
      <c r="P25" s="122">
        <f>($B$9-$B$7)*SUM($C$16:C25)/28</f>
        <v>914880</v>
      </c>
      <c r="Q25" s="122">
        <f t="shared" si="3"/>
        <v>394710</v>
      </c>
      <c r="R25" s="122">
        <f t="shared" si="6"/>
        <v>2936.2307692307691</v>
      </c>
      <c r="S25" s="68"/>
      <c r="T25" s="44">
        <f t="shared" si="7"/>
        <v>690.01423076923072</v>
      </c>
      <c r="U25" s="62"/>
      <c r="V25" s="69"/>
    </row>
    <row r="26" spans="1:23" s="67" customFormat="1" x14ac:dyDescent="0.25">
      <c r="A26" s="113">
        <v>43017</v>
      </c>
      <c r="B26" s="114">
        <v>11</v>
      </c>
      <c r="C26" s="109">
        <f t="shared" si="4"/>
        <v>28</v>
      </c>
      <c r="D26" s="45">
        <v>144</v>
      </c>
      <c r="E26" s="110">
        <f t="shared" si="5"/>
        <v>144</v>
      </c>
      <c r="F26" s="109">
        <f>IF(SUM(C26:$C$28)=0,"",E26*C26/28)</f>
        <v>144</v>
      </c>
      <c r="G26" s="46">
        <f t="shared" si="0"/>
        <v>50000</v>
      </c>
      <c r="H26" s="125">
        <f>SUMPRODUCT($G$16:G26,$K$16:K26)</f>
        <v>550000</v>
      </c>
      <c r="I26" s="130"/>
      <c r="J26" s="131">
        <f>SUM($I$16:I26)*13</f>
        <v>13000</v>
      </c>
      <c r="K26" s="111">
        <f>IFERROR(IF(SUM(C26:$C$28)=0,"",ROUND(D26/F26,4)),0)</f>
        <v>1</v>
      </c>
      <c r="L26" s="122">
        <f>IFERROR(SUMPRODUCT($B$7*$K$16:K26),0)</f>
        <v>130119</v>
      </c>
      <c r="M26" s="122">
        <f t="shared" si="8"/>
        <v>432881</v>
      </c>
      <c r="N26" s="122">
        <f t="shared" si="1"/>
        <v>432881</v>
      </c>
      <c r="O26" s="122">
        <f t="shared" si="2"/>
        <v>1006368</v>
      </c>
      <c r="P26" s="122">
        <f>($B$9-$B$7)*SUM($C$16:C26)/28</f>
        <v>1006368</v>
      </c>
      <c r="Q26" s="122">
        <f t="shared" si="3"/>
        <v>432881</v>
      </c>
      <c r="R26" s="122">
        <f t="shared" si="6"/>
        <v>2936.2307692307691</v>
      </c>
      <c r="S26" s="68"/>
      <c r="T26" s="44">
        <f t="shared" si="7"/>
        <v>690.01423076923072</v>
      </c>
      <c r="U26" s="62"/>
      <c r="V26" s="69"/>
    </row>
    <row r="27" spans="1:23" s="67" customFormat="1" x14ac:dyDescent="0.25">
      <c r="A27" s="113">
        <v>43045</v>
      </c>
      <c r="B27" s="114">
        <v>12</v>
      </c>
      <c r="C27" s="109">
        <f t="shared" si="4"/>
        <v>28</v>
      </c>
      <c r="D27" s="45">
        <v>144</v>
      </c>
      <c r="E27" s="110">
        <f t="shared" si="5"/>
        <v>144</v>
      </c>
      <c r="F27" s="109">
        <f>IF(SUM(C27:$C$28)=0,"",E27*C27/28)</f>
        <v>144</v>
      </c>
      <c r="G27" s="46">
        <f t="shared" si="0"/>
        <v>50000</v>
      </c>
      <c r="H27" s="125">
        <f>SUMPRODUCT($G$16:G27,$K$16:K27)</f>
        <v>600000</v>
      </c>
      <c r="I27" s="130"/>
      <c r="J27" s="131">
        <f>SUM($I$16:I27)*13</f>
        <v>13000</v>
      </c>
      <c r="K27" s="111">
        <f>IFERROR(IF(SUM(C27:$C$28)=0,"",ROUND(D27/F27,4)),0)</f>
        <v>1</v>
      </c>
      <c r="L27" s="122">
        <f>IFERROR(SUMPRODUCT($B$7*$K$16:K27),0)</f>
        <v>141948</v>
      </c>
      <c r="M27" s="122">
        <f>IF(K27="",M26,(H27+J27-J26-L27-H26+L26)*C27/28+M26)</f>
        <v>471052</v>
      </c>
      <c r="N27" s="122">
        <f t="shared" si="1"/>
        <v>471052</v>
      </c>
      <c r="O27" s="122">
        <f t="shared" si="2"/>
        <v>1097856</v>
      </c>
      <c r="P27" s="122">
        <f>($B$9-$B$7)*SUM($C$16:C27)/28</f>
        <v>1097856</v>
      </c>
      <c r="Q27" s="122">
        <f t="shared" si="3"/>
        <v>471052</v>
      </c>
      <c r="R27" s="122">
        <f t="shared" si="6"/>
        <v>2936.2307692307691</v>
      </c>
      <c r="S27" s="68"/>
      <c r="T27" s="44">
        <f t="shared" si="7"/>
        <v>690.01423076923072</v>
      </c>
      <c r="U27" s="62"/>
      <c r="V27" s="69"/>
    </row>
    <row r="28" spans="1:23" s="67" customFormat="1" x14ac:dyDescent="0.25">
      <c r="A28" s="113">
        <v>43073</v>
      </c>
      <c r="B28" s="114">
        <v>13</v>
      </c>
      <c r="C28" s="109">
        <f t="shared" si="4"/>
        <v>28</v>
      </c>
      <c r="D28" s="45">
        <v>144</v>
      </c>
      <c r="E28" s="110">
        <f t="shared" si="5"/>
        <v>144</v>
      </c>
      <c r="F28" s="109">
        <f>IF(SUM(C$28:$C28)=0,"",E28*C28/28)</f>
        <v>144</v>
      </c>
      <c r="G28" s="46">
        <f t="shared" si="0"/>
        <v>50000</v>
      </c>
      <c r="H28" s="125">
        <f>SUMPRODUCT($G$16:G28,$K$16:K28)</f>
        <v>650000</v>
      </c>
      <c r="I28" s="130"/>
      <c r="J28" s="131">
        <f>SUM($I$16:I28)*13</f>
        <v>13000</v>
      </c>
      <c r="K28" s="111">
        <f>IFERROR(IF(SUM(C$28:$C28)=0,"",ROUND(D28/F28,4)),0)</f>
        <v>1</v>
      </c>
      <c r="L28" s="122">
        <f>IFERROR(SUMPRODUCT($B$7*$K$16:K28),0)</f>
        <v>153777</v>
      </c>
      <c r="M28" s="122">
        <f>IF(K28="",M27,(H28+J28-J27-L28-H27+L27)*C28/28+M27)</f>
        <v>509223</v>
      </c>
      <c r="N28" s="122">
        <f t="shared" si="1"/>
        <v>509223</v>
      </c>
      <c r="O28" s="122">
        <f t="shared" si="2"/>
        <v>1189344</v>
      </c>
      <c r="P28" s="122">
        <f>($B$9-$B$7)*SUM($C$16:C28)/28</f>
        <v>1189344</v>
      </c>
      <c r="Q28" s="122">
        <f t="shared" si="3"/>
        <v>509223</v>
      </c>
      <c r="R28" s="122">
        <f t="shared" si="6"/>
        <v>2936.2307692307691</v>
      </c>
      <c r="S28" s="68"/>
      <c r="T28" s="44">
        <f t="shared" si="7"/>
        <v>690.01423076923072</v>
      </c>
      <c r="U28" s="62"/>
      <c r="V28" s="69"/>
    </row>
    <row r="29" spans="1:23" x14ac:dyDescent="0.25">
      <c r="A29" s="35">
        <f t="shared" ref="A29" si="9">A28+28</f>
        <v>43101</v>
      </c>
      <c r="B29" s="35">
        <v>13</v>
      </c>
      <c r="C29" s="109"/>
      <c r="D29" s="70"/>
      <c r="E29" s="70"/>
      <c r="F29" s="70"/>
      <c r="G29" s="71"/>
      <c r="H29" s="126"/>
      <c r="I29" s="126"/>
      <c r="J29" s="126"/>
      <c r="K29" s="70"/>
      <c r="L29" s="70"/>
      <c r="M29" s="70"/>
      <c r="N29" s="70"/>
      <c r="O29" s="70"/>
      <c r="P29" s="72"/>
      <c r="Q29" s="72"/>
      <c r="R29" s="72"/>
      <c r="S29" s="73"/>
      <c r="T29" s="10"/>
      <c r="U29" s="51"/>
    </row>
    <row r="30" spans="1:23" x14ac:dyDescent="0.25">
      <c r="A30" s="115" t="s">
        <v>13</v>
      </c>
      <c r="B30" s="115"/>
      <c r="C30" s="115"/>
      <c r="D30" s="115"/>
      <c r="E30" s="115"/>
      <c r="F30" s="115"/>
      <c r="G30" s="116"/>
      <c r="H30" s="127"/>
      <c r="I30" s="127"/>
      <c r="J30" s="127"/>
      <c r="K30" s="115"/>
      <c r="L30" s="115"/>
      <c r="M30" s="115"/>
      <c r="N30" s="115"/>
      <c r="O30" s="116"/>
      <c r="P30" s="116"/>
      <c r="Q30" s="116"/>
      <c r="R30" s="116"/>
      <c r="S30" s="115"/>
      <c r="T30" s="117">
        <f>MAX(SUM(T16:T28),0)</f>
        <v>9205.1849999999977</v>
      </c>
      <c r="U30" s="51"/>
    </row>
    <row r="31" spans="1:23" x14ac:dyDescent="0.25">
      <c r="H31" s="74"/>
      <c r="I31" s="74"/>
      <c r="J31" s="74"/>
      <c r="U31" s="51"/>
    </row>
    <row r="32" spans="1:23" x14ac:dyDescent="0.25">
      <c r="H32" s="74"/>
      <c r="I32" s="74"/>
      <c r="J32" s="74"/>
    </row>
    <row r="33" spans="1:27" ht="15.75" thickBot="1" x14ac:dyDescent="0.3">
      <c r="H33" s="74"/>
      <c r="I33" s="74"/>
      <c r="J33" s="74"/>
      <c r="T33" s="74"/>
    </row>
    <row r="34" spans="1:27" ht="15.75" thickBot="1" x14ac:dyDescent="0.3">
      <c r="A34" s="96" t="s">
        <v>36</v>
      </c>
      <c r="B34" s="97"/>
      <c r="C34" s="97"/>
      <c r="D34" s="97"/>
      <c r="E34" s="97"/>
      <c r="F34" s="97"/>
      <c r="G34" s="97"/>
      <c r="H34" s="128"/>
      <c r="I34" s="128"/>
      <c r="J34" s="128"/>
      <c r="K34" s="97"/>
      <c r="L34" s="97"/>
      <c r="M34" s="97"/>
      <c r="N34" s="97"/>
      <c r="O34" s="97"/>
      <c r="P34" s="97"/>
      <c r="Q34" s="97"/>
      <c r="R34" s="97"/>
      <c r="S34" s="97"/>
      <c r="T34" s="98"/>
      <c r="Z34" s="60">
        <v>22</v>
      </c>
      <c r="AA34" s="8">
        <v>17092</v>
      </c>
    </row>
    <row r="35" spans="1:27" ht="45" x14ac:dyDescent="0.25">
      <c r="A35" s="99" t="s">
        <v>47</v>
      </c>
      <c r="B35" s="99" t="s">
        <v>48</v>
      </c>
      <c r="C35" s="99" t="s">
        <v>64</v>
      </c>
      <c r="D35" s="99" t="s">
        <v>65</v>
      </c>
      <c r="E35" s="99" t="s">
        <v>52</v>
      </c>
      <c r="F35" s="99" t="s">
        <v>66</v>
      </c>
      <c r="G35" s="100" t="s">
        <v>51</v>
      </c>
      <c r="H35" s="100" t="s">
        <v>67</v>
      </c>
      <c r="I35" s="100" t="s">
        <v>53</v>
      </c>
      <c r="J35" s="100" t="s">
        <v>77</v>
      </c>
      <c r="K35" s="99" t="s">
        <v>19</v>
      </c>
      <c r="L35" s="100" t="s">
        <v>35</v>
      </c>
      <c r="M35" s="99" t="s">
        <v>74</v>
      </c>
      <c r="N35" s="99" t="s">
        <v>75</v>
      </c>
      <c r="O35" s="99"/>
      <c r="P35" s="99"/>
      <c r="Q35" s="100"/>
      <c r="R35" s="100" t="s">
        <v>71</v>
      </c>
      <c r="S35" s="99"/>
      <c r="T35" s="99" t="s">
        <v>54</v>
      </c>
      <c r="U35" s="51"/>
    </row>
    <row r="36" spans="1:27" x14ac:dyDescent="0.25">
      <c r="A36" s="101"/>
      <c r="B36" s="101"/>
      <c r="C36" s="102"/>
      <c r="D36" s="102"/>
      <c r="E36" s="102"/>
      <c r="F36" s="102"/>
      <c r="G36" s="58"/>
      <c r="H36" s="74"/>
      <c r="I36" s="132"/>
      <c r="J36" s="132"/>
      <c r="K36" s="104"/>
      <c r="L36" s="104"/>
      <c r="M36" s="104"/>
      <c r="N36" s="104"/>
      <c r="O36" s="118"/>
      <c r="P36" s="75"/>
      <c r="Q36" s="119"/>
      <c r="R36" s="119"/>
      <c r="S36" s="118"/>
      <c r="T36" s="61"/>
      <c r="U36" s="51"/>
      <c r="V36" s="57"/>
    </row>
    <row r="37" spans="1:27" s="64" customFormat="1" x14ac:dyDescent="0.25">
      <c r="A37" s="113">
        <f>A16</f>
        <v>42737</v>
      </c>
      <c r="B37" s="108">
        <v>1</v>
      </c>
      <c r="C37" s="109">
        <f t="shared" ref="C37:K49" si="10">C16</f>
        <v>28</v>
      </c>
      <c r="D37" s="109">
        <f t="shared" si="10"/>
        <v>144</v>
      </c>
      <c r="E37" s="109">
        <f t="shared" si="10"/>
        <v>144</v>
      </c>
      <c r="F37" s="109">
        <f t="shared" si="10"/>
        <v>144</v>
      </c>
      <c r="G37" s="120">
        <f t="shared" si="10"/>
        <v>50000</v>
      </c>
      <c r="H37" s="129">
        <f t="shared" si="10"/>
        <v>50000</v>
      </c>
      <c r="I37" s="129">
        <f t="shared" ref="I37" si="11">I16</f>
        <v>1000</v>
      </c>
      <c r="J37" s="129">
        <f t="shared" si="10"/>
        <v>13000</v>
      </c>
      <c r="K37" s="121">
        <f t="shared" si="10"/>
        <v>1</v>
      </c>
      <c r="L37" s="122">
        <f>COUNTIF($C$37:C37,"&gt;0")*$B$8</f>
        <v>20108</v>
      </c>
      <c r="M37" s="122">
        <f>IF(K37="",M36,(H37+J37-J36-L37-H36+L36)*C37/28+M36)</f>
        <v>42892</v>
      </c>
      <c r="N37" s="122">
        <f t="shared" ref="N37:N49" si="12">MAX(0,M37)</f>
        <v>42892</v>
      </c>
      <c r="O37" s="123"/>
      <c r="P37" s="123"/>
      <c r="Q37" s="123"/>
      <c r="R37" s="122">
        <f>(N37-N36)/13</f>
        <v>3299.3846153846152</v>
      </c>
      <c r="S37" s="112"/>
      <c r="T37" s="44">
        <f t="shared" ref="T37:T49" si="13">(N37-N36)/13*$B$11</f>
        <v>16.496923076923075</v>
      </c>
      <c r="U37" s="62"/>
      <c r="V37" s="63"/>
    </row>
    <row r="38" spans="1:27" s="64" customFormat="1" x14ac:dyDescent="0.25">
      <c r="A38" s="113">
        <f t="shared" ref="A38:A50" si="14">A17</f>
        <v>42765</v>
      </c>
      <c r="B38" s="108">
        <v>2</v>
      </c>
      <c r="C38" s="109">
        <f t="shared" si="10"/>
        <v>28</v>
      </c>
      <c r="D38" s="109">
        <f t="shared" si="10"/>
        <v>144</v>
      </c>
      <c r="E38" s="109">
        <f t="shared" si="10"/>
        <v>144</v>
      </c>
      <c r="F38" s="109">
        <f t="shared" si="10"/>
        <v>144</v>
      </c>
      <c r="G38" s="120">
        <f t="shared" si="10"/>
        <v>50000</v>
      </c>
      <c r="H38" s="129">
        <f t="shared" si="10"/>
        <v>100000</v>
      </c>
      <c r="I38" s="129">
        <f t="shared" ref="I38" si="15">I17</f>
        <v>0</v>
      </c>
      <c r="J38" s="129">
        <f t="shared" si="10"/>
        <v>13000</v>
      </c>
      <c r="K38" s="121">
        <f t="shared" si="10"/>
        <v>1</v>
      </c>
      <c r="L38" s="122">
        <f>COUNTIF($C$37:C38,"&gt;0")*$B$8</f>
        <v>40216</v>
      </c>
      <c r="M38" s="122">
        <f t="shared" ref="M38:M49" si="16">IF(K38="",M37,(H38+J38-J37-L38-H37+L37)*C38/28+M37)</f>
        <v>72784</v>
      </c>
      <c r="N38" s="122">
        <f t="shared" si="12"/>
        <v>72784</v>
      </c>
      <c r="O38" s="123"/>
      <c r="P38" s="123"/>
      <c r="Q38" s="123"/>
      <c r="R38" s="122">
        <f t="shared" ref="R38:R49" si="17">(N38-N37)/13</f>
        <v>2299.3846153846152</v>
      </c>
      <c r="S38" s="65"/>
      <c r="T38" s="44">
        <f t="shared" si="13"/>
        <v>11.496923076923077</v>
      </c>
      <c r="U38" s="62"/>
      <c r="V38" s="63"/>
    </row>
    <row r="39" spans="1:27" s="64" customFormat="1" x14ac:dyDescent="0.25">
      <c r="A39" s="113">
        <f t="shared" si="14"/>
        <v>42793</v>
      </c>
      <c r="B39" s="108">
        <v>3</v>
      </c>
      <c r="C39" s="109">
        <f t="shared" si="10"/>
        <v>28</v>
      </c>
      <c r="D39" s="109">
        <f t="shared" si="10"/>
        <v>144</v>
      </c>
      <c r="E39" s="109">
        <f t="shared" si="10"/>
        <v>144</v>
      </c>
      <c r="F39" s="109">
        <f t="shared" si="10"/>
        <v>144</v>
      </c>
      <c r="G39" s="120">
        <f t="shared" si="10"/>
        <v>50000</v>
      </c>
      <c r="H39" s="129">
        <f t="shared" si="10"/>
        <v>150000</v>
      </c>
      <c r="I39" s="129">
        <f t="shared" si="10"/>
        <v>0</v>
      </c>
      <c r="J39" s="129">
        <f t="shared" si="10"/>
        <v>13000</v>
      </c>
      <c r="K39" s="121">
        <f t="shared" si="10"/>
        <v>1</v>
      </c>
      <c r="L39" s="122">
        <f>COUNTIF($C$37:C39,"&gt;0")*$B$8</f>
        <v>60324</v>
      </c>
      <c r="M39" s="122">
        <f t="shared" si="16"/>
        <v>102676</v>
      </c>
      <c r="N39" s="122">
        <f t="shared" si="12"/>
        <v>102676</v>
      </c>
      <c r="O39" s="123"/>
      <c r="P39" s="123"/>
      <c r="Q39" s="123"/>
      <c r="R39" s="122">
        <f t="shared" si="17"/>
        <v>2299.3846153846152</v>
      </c>
      <c r="S39" s="65"/>
      <c r="T39" s="44">
        <f t="shared" si="13"/>
        <v>11.496923076923077</v>
      </c>
      <c r="U39" s="62"/>
      <c r="V39" s="66"/>
      <c r="W39" s="67"/>
    </row>
    <row r="40" spans="1:27" s="67" customFormat="1" x14ac:dyDescent="0.25">
      <c r="A40" s="113">
        <f t="shared" si="14"/>
        <v>42821</v>
      </c>
      <c r="B40" s="114">
        <v>4</v>
      </c>
      <c r="C40" s="109">
        <f t="shared" si="10"/>
        <v>28</v>
      </c>
      <c r="D40" s="109">
        <f t="shared" si="10"/>
        <v>144</v>
      </c>
      <c r="E40" s="109">
        <f t="shared" si="10"/>
        <v>144</v>
      </c>
      <c r="F40" s="109">
        <f t="shared" si="10"/>
        <v>144</v>
      </c>
      <c r="G40" s="120">
        <f t="shared" si="10"/>
        <v>50000</v>
      </c>
      <c r="H40" s="129">
        <f t="shared" si="10"/>
        <v>200000</v>
      </c>
      <c r="I40" s="129">
        <f t="shared" si="10"/>
        <v>0</v>
      </c>
      <c r="J40" s="129">
        <f t="shared" si="10"/>
        <v>13000</v>
      </c>
      <c r="K40" s="121">
        <f t="shared" si="10"/>
        <v>1</v>
      </c>
      <c r="L40" s="122">
        <f>COUNTIF($C$37:C40,"&gt;0")*$B$8</f>
        <v>80432</v>
      </c>
      <c r="M40" s="122">
        <f t="shared" si="16"/>
        <v>132568</v>
      </c>
      <c r="N40" s="122">
        <f t="shared" si="12"/>
        <v>132568</v>
      </c>
      <c r="O40" s="123"/>
      <c r="P40" s="123"/>
      <c r="Q40" s="123"/>
      <c r="R40" s="122">
        <f t="shared" si="17"/>
        <v>2299.3846153846152</v>
      </c>
      <c r="S40" s="68"/>
      <c r="T40" s="44">
        <f t="shared" si="13"/>
        <v>11.496923076923077</v>
      </c>
      <c r="U40" s="62"/>
      <c r="V40" s="66"/>
    </row>
    <row r="41" spans="1:27" s="67" customFormat="1" x14ac:dyDescent="0.25">
      <c r="A41" s="113">
        <f t="shared" si="14"/>
        <v>42849</v>
      </c>
      <c r="B41" s="114">
        <v>5</v>
      </c>
      <c r="C41" s="109">
        <f t="shared" si="10"/>
        <v>28</v>
      </c>
      <c r="D41" s="109">
        <f t="shared" si="10"/>
        <v>144</v>
      </c>
      <c r="E41" s="109">
        <f t="shared" si="10"/>
        <v>144</v>
      </c>
      <c r="F41" s="109">
        <f t="shared" si="10"/>
        <v>144</v>
      </c>
      <c r="G41" s="120">
        <f t="shared" si="10"/>
        <v>50000</v>
      </c>
      <c r="H41" s="129">
        <f t="shared" si="10"/>
        <v>250000</v>
      </c>
      <c r="I41" s="129">
        <f t="shared" si="10"/>
        <v>0</v>
      </c>
      <c r="J41" s="129">
        <f t="shared" si="10"/>
        <v>13000</v>
      </c>
      <c r="K41" s="121">
        <f t="shared" si="10"/>
        <v>1</v>
      </c>
      <c r="L41" s="122">
        <f>COUNTIF($C$37:C41,"&gt;0")*$B$8</f>
        <v>100540</v>
      </c>
      <c r="M41" s="122">
        <f t="shared" si="16"/>
        <v>162460</v>
      </c>
      <c r="N41" s="122">
        <f t="shared" si="12"/>
        <v>162460</v>
      </c>
      <c r="O41" s="123"/>
      <c r="P41" s="123"/>
      <c r="Q41" s="123"/>
      <c r="R41" s="122">
        <f t="shared" si="17"/>
        <v>2299.3846153846152</v>
      </c>
      <c r="S41" s="68"/>
      <c r="T41" s="44">
        <f t="shared" si="13"/>
        <v>11.496923076923077</v>
      </c>
      <c r="U41" s="62"/>
    </row>
    <row r="42" spans="1:27" s="67" customFormat="1" x14ac:dyDescent="0.25">
      <c r="A42" s="113">
        <f t="shared" si="14"/>
        <v>42877</v>
      </c>
      <c r="B42" s="114">
        <v>6</v>
      </c>
      <c r="C42" s="109">
        <f t="shared" si="10"/>
        <v>28</v>
      </c>
      <c r="D42" s="109">
        <f t="shared" si="10"/>
        <v>144</v>
      </c>
      <c r="E42" s="109">
        <f t="shared" si="10"/>
        <v>144</v>
      </c>
      <c r="F42" s="109">
        <f t="shared" si="10"/>
        <v>144</v>
      </c>
      <c r="G42" s="120">
        <f t="shared" si="10"/>
        <v>50000</v>
      </c>
      <c r="H42" s="129">
        <f t="shared" si="10"/>
        <v>300000</v>
      </c>
      <c r="I42" s="129">
        <f t="shared" si="10"/>
        <v>0</v>
      </c>
      <c r="J42" s="129">
        <f t="shared" si="10"/>
        <v>13000</v>
      </c>
      <c r="K42" s="121">
        <f t="shared" si="10"/>
        <v>1</v>
      </c>
      <c r="L42" s="122">
        <f>COUNTIF($C$37:C42,"&gt;0")*$B$8</f>
        <v>120648</v>
      </c>
      <c r="M42" s="122">
        <f t="shared" si="16"/>
        <v>192352</v>
      </c>
      <c r="N42" s="122">
        <f t="shared" si="12"/>
        <v>192352</v>
      </c>
      <c r="O42" s="123"/>
      <c r="P42" s="123"/>
      <c r="Q42" s="123"/>
      <c r="R42" s="122">
        <f t="shared" si="17"/>
        <v>2299.3846153846152</v>
      </c>
      <c r="S42" s="68"/>
      <c r="T42" s="44">
        <f t="shared" si="13"/>
        <v>11.496923076923077</v>
      </c>
      <c r="U42" s="62"/>
    </row>
    <row r="43" spans="1:27" s="67" customFormat="1" x14ac:dyDescent="0.25">
      <c r="A43" s="113">
        <f t="shared" si="14"/>
        <v>42905</v>
      </c>
      <c r="B43" s="114">
        <v>7</v>
      </c>
      <c r="C43" s="109">
        <f t="shared" si="10"/>
        <v>28</v>
      </c>
      <c r="D43" s="109">
        <f t="shared" si="10"/>
        <v>144</v>
      </c>
      <c r="E43" s="109">
        <f t="shared" si="10"/>
        <v>144</v>
      </c>
      <c r="F43" s="109">
        <f t="shared" si="10"/>
        <v>144</v>
      </c>
      <c r="G43" s="120">
        <f t="shared" si="10"/>
        <v>50000</v>
      </c>
      <c r="H43" s="129">
        <f t="shared" si="10"/>
        <v>350000</v>
      </c>
      <c r="I43" s="129">
        <f t="shared" si="10"/>
        <v>0</v>
      </c>
      <c r="J43" s="129">
        <f t="shared" si="10"/>
        <v>13000</v>
      </c>
      <c r="K43" s="121">
        <f t="shared" si="10"/>
        <v>1</v>
      </c>
      <c r="L43" s="122">
        <f>COUNTIF($C$37:C43,"&gt;0")*$B$8</f>
        <v>140756</v>
      </c>
      <c r="M43" s="122">
        <f t="shared" si="16"/>
        <v>222244</v>
      </c>
      <c r="N43" s="122">
        <f t="shared" si="12"/>
        <v>222244</v>
      </c>
      <c r="O43" s="123"/>
      <c r="P43" s="123"/>
      <c r="Q43" s="123"/>
      <c r="R43" s="122">
        <f t="shared" si="17"/>
        <v>2299.3846153846152</v>
      </c>
      <c r="S43" s="68"/>
      <c r="T43" s="44">
        <f t="shared" si="13"/>
        <v>11.496923076923077</v>
      </c>
      <c r="U43" s="62"/>
    </row>
    <row r="44" spans="1:27" s="67" customFormat="1" x14ac:dyDescent="0.25">
      <c r="A44" s="113">
        <f t="shared" si="14"/>
        <v>42933</v>
      </c>
      <c r="B44" s="114">
        <v>8</v>
      </c>
      <c r="C44" s="109">
        <f t="shared" si="10"/>
        <v>28</v>
      </c>
      <c r="D44" s="109">
        <f t="shared" si="10"/>
        <v>144</v>
      </c>
      <c r="E44" s="109">
        <f t="shared" si="10"/>
        <v>144</v>
      </c>
      <c r="F44" s="109">
        <f t="shared" si="10"/>
        <v>144</v>
      </c>
      <c r="G44" s="120">
        <f t="shared" si="10"/>
        <v>50000</v>
      </c>
      <c r="H44" s="129">
        <f t="shared" si="10"/>
        <v>400000</v>
      </c>
      <c r="I44" s="129">
        <f t="shared" si="10"/>
        <v>0</v>
      </c>
      <c r="J44" s="129">
        <f t="shared" si="10"/>
        <v>13000</v>
      </c>
      <c r="K44" s="121">
        <f t="shared" si="10"/>
        <v>1</v>
      </c>
      <c r="L44" s="122">
        <f>COUNTIF($C$37:C44,"&gt;0")*$B$8</f>
        <v>160864</v>
      </c>
      <c r="M44" s="122">
        <f t="shared" si="16"/>
        <v>252136</v>
      </c>
      <c r="N44" s="122">
        <f t="shared" si="12"/>
        <v>252136</v>
      </c>
      <c r="O44" s="123"/>
      <c r="P44" s="123"/>
      <c r="Q44" s="123"/>
      <c r="R44" s="122">
        <f t="shared" si="17"/>
        <v>2299.3846153846152</v>
      </c>
      <c r="S44" s="68"/>
      <c r="T44" s="44">
        <f t="shared" si="13"/>
        <v>11.496923076923077</v>
      </c>
      <c r="U44" s="62"/>
      <c r="V44" s="69"/>
    </row>
    <row r="45" spans="1:27" s="67" customFormat="1" x14ac:dyDescent="0.25">
      <c r="A45" s="113">
        <f t="shared" si="14"/>
        <v>42961</v>
      </c>
      <c r="B45" s="114">
        <v>9</v>
      </c>
      <c r="C45" s="109">
        <f t="shared" si="10"/>
        <v>28</v>
      </c>
      <c r="D45" s="109">
        <f t="shared" si="10"/>
        <v>144</v>
      </c>
      <c r="E45" s="109">
        <f t="shared" si="10"/>
        <v>144</v>
      </c>
      <c r="F45" s="109">
        <f t="shared" si="10"/>
        <v>144</v>
      </c>
      <c r="G45" s="120">
        <f t="shared" si="10"/>
        <v>50000</v>
      </c>
      <c r="H45" s="129">
        <f t="shared" si="10"/>
        <v>450000</v>
      </c>
      <c r="I45" s="129">
        <f t="shared" si="10"/>
        <v>0</v>
      </c>
      <c r="J45" s="129">
        <f t="shared" si="10"/>
        <v>13000</v>
      </c>
      <c r="K45" s="121">
        <f t="shared" si="10"/>
        <v>1</v>
      </c>
      <c r="L45" s="122">
        <f>COUNTIF($C$37:C45,"&gt;0")*$B$8</f>
        <v>180972</v>
      </c>
      <c r="M45" s="122">
        <f t="shared" si="16"/>
        <v>282028</v>
      </c>
      <c r="N45" s="122">
        <f t="shared" si="12"/>
        <v>282028</v>
      </c>
      <c r="O45" s="123"/>
      <c r="P45" s="123"/>
      <c r="Q45" s="123"/>
      <c r="R45" s="122">
        <f t="shared" si="17"/>
        <v>2299.3846153846152</v>
      </c>
      <c r="S45" s="68"/>
      <c r="T45" s="44">
        <f t="shared" si="13"/>
        <v>11.496923076923077</v>
      </c>
      <c r="U45" s="62"/>
      <c r="V45" s="69"/>
    </row>
    <row r="46" spans="1:27" s="67" customFormat="1" x14ac:dyDescent="0.25">
      <c r="A46" s="113">
        <f t="shared" si="14"/>
        <v>42989</v>
      </c>
      <c r="B46" s="114">
        <v>10</v>
      </c>
      <c r="C46" s="109">
        <f t="shared" si="10"/>
        <v>28</v>
      </c>
      <c r="D46" s="109">
        <f t="shared" si="10"/>
        <v>144</v>
      </c>
      <c r="E46" s="109">
        <f t="shared" si="10"/>
        <v>144</v>
      </c>
      <c r="F46" s="109">
        <f t="shared" si="10"/>
        <v>144</v>
      </c>
      <c r="G46" s="120">
        <f t="shared" si="10"/>
        <v>50000</v>
      </c>
      <c r="H46" s="129">
        <f t="shared" si="10"/>
        <v>500000</v>
      </c>
      <c r="I46" s="129">
        <f t="shared" si="10"/>
        <v>0</v>
      </c>
      <c r="J46" s="129">
        <f t="shared" si="10"/>
        <v>13000</v>
      </c>
      <c r="K46" s="121">
        <f t="shared" si="10"/>
        <v>1</v>
      </c>
      <c r="L46" s="122">
        <f>COUNTIF($C$37:C46,"&gt;0")*$B$8</f>
        <v>201080</v>
      </c>
      <c r="M46" s="122">
        <f t="shared" si="16"/>
        <v>311920</v>
      </c>
      <c r="N46" s="122">
        <f t="shared" si="12"/>
        <v>311920</v>
      </c>
      <c r="O46" s="123"/>
      <c r="P46" s="123"/>
      <c r="Q46" s="123"/>
      <c r="R46" s="122">
        <f t="shared" si="17"/>
        <v>2299.3846153846152</v>
      </c>
      <c r="S46" s="68"/>
      <c r="T46" s="44">
        <f t="shared" si="13"/>
        <v>11.496923076923077</v>
      </c>
      <c r="U46" s="62"/>
      <c r="V46" s="69"/>
    </row>
    <row r="47" spans="1:27" s="67" customFormat="1" x14ac:dyDescent="0.25">
      <c r="A47" s="113">
        <f t="shared" si="14"/>
        <v>43017</v>
      </c>
      <c r="B47" s="114">
        <v>11</v>
      </c>
      <c r="C47" s="109">
        <f t="shared" si="10"/>
        <v>28</v>
      </c>
      <c r="D47" s="109">
        <f t="shared" si="10"/>
        <v>144</v>
      </c>
      <c r="E47" s="109">
        <f t="shared" si="10"/>
        <v>144</v>
      </c>
      <c r="F47" s="109">
        <f t="shared" si="10"/>
        <v>144</v>
      </c>
      <c r="G47" s="120">
        <f t="shared" si="10"/>
        <v>50000</v>
      </c>
      <c r="H47" s="129">
        <f t="shared" si="10"/>
        <v>550000</v>
      </c>
      <c r="I47" s="129">
        <f t="shared" si="10"/>
        <v>0</v>
      </c>
      <c r="J47" s="129">
        <f t="shared" si="10"/>
        <v>13000</v>
      </c>
      <c r="K47" s="121">
        <f t="shared" si="10"/>
        <v>1</v>
      </c>
      <c r="L47" s="122">
        <f>COUNTIF($C$37:C47,"&gt;0")*$B$8</f>
        <v>221188</v>
      </c>
      <c r="M47" s="122">
        <f t="shared" si="16"/>
        <v>341812</v>
      </c>
      <c r="N47" s="122">
        <f t="shared" si="12"/>
        <v>341812</v>
      </c>
      <c r="O47" s="123"/>
      <c r="P47" s="123"/>
      <c r="Q47" s="123"/>
      <c r="R47" s="122">
        <f t="shared" si="17"/>
        <v>2299.3846153846152</v>
      </c>
      <c r="S47" s="68"/>
      <c r="T47" s="44">
        <f t="shared" si="13"/>
        <v>11.496923076923077</v>
      </c>
      <c r="U47" s="62"/>
      <c r="V47" s="69"/>
    </row>
    <row r="48" spans="1:27" s="67" customFormat="1" x14ac:dyDescent="0.25">
      <c r="A48" s="113">
        <f t="shared" si="14"/>
        <v>43045</v>
      </c>
      <c r="B48" s="114">
        <v>12</v>
      </c>
      <c r="C48" s="109">
        <f t="shared" si="10"/>
        <v>28</v>
      </c>
      <c r="D48" s="109">
        <f t="shared" si="10"/>
        <v>144</v>
      </c>
      <c r="E48" s="109">
        <f t="shared" si="10"/>
        <v>144</v>
      </c>
      <c r="F48" s="109">
        <f t="shared" si="10"/>
        <v>144</v>
      </c>
      <c r="G48" s="120">
        <f t="shared" si="10"/>
        <v>50000</v>
      </c>
      <c r="H48" s="129">
        <f t="shared" si="10"/>
        <v>600000</v>
      </c>
      <c r="I48" s="129">
        <f t="shared" si="10"/>
        <v>0</v>
      </c>
      <c r="J48" s="129">
        <f t="shared" si="10"/>
        <v>13000</v>
      </c>
      <c r="K48" s="121">
        <f t="shared" si="10"/>
        <v>1</v>
      </c>
      <c r="L48" s="122">
        <f>COUNTIF($C$37:C48,"&gt;0")*$B$8</f>
        <v>241296</v>
      </c>
      <c r="M48" s="122">
        <f t="shared" si="16"/>
        <v>371704</v>
      </c>
      <c r="N48" s="122">
        <f t="shared" si="12"/>
        <v>371704</v>
      </c>
      <c r="O48" s="123"/>
      <c r="P48" s="123"/>
      <c r="Q48" s="123"/>
      <c r="R48" s="122">
        <f t="shared" si="17"/>
        <v>2299.3846153846152</v>
      </c>
      <c r="S48" s="68"/>
      <c r="T48" s="44">
        <f t="shared" si="13"/>
        <v>11.496923076923077</v>
      </c>
      <c r="U48" s="62"/>
      <c r="V48" s="69"/>
    </row>
    <row r="49" spans="1:22" s="67" customFormat="1" x14ac:dyDescent="0.25">
      <c r="A49" s="113">
        <f t="shared" si="14"/>
        <v>43073</v>
      </c>
      <c r="B49" s="114">
        <v>13</v>
      </c>
      <c r="C49" s="109">
        <f t="shared" si="10"/>
        <v>28</v>
      </c>
      <c r="D49" s="109">
        <f t="shared" si="10"/>
        <v>144</v>
      </c>
      <c r="E49" s="109">
        <f t="shared" si="10"/>
        <v>144</v>
      </c>
      <c r="F49" s="109">
        <f t="shared" si="10"/>
        <v>144</v>
      </c>
      <c r="G49" s="120">
        <f t="shared" si="10"/>
        <v>50000</v>
      </c>
      <c r="H49" s="129">
        <f t="shared" si="10"/>
        <v>650000</v>
      </c>
      <c r="I49" s="129">
        <f t="shared" si="10"/>
        <v>0</v>
      </c>
      <c r="J49" s="129">
        <f t="shared" si="10"/>
        <v>13000</v>
      </c>
      <c r="K49" s="121">
        <f t="shared" si="10"/>
        <v>1</v>
      </c>
      <c r="L49" s="122">
        <f>COUNTIF($C$37:C49,"&gt;0")*$B$8</f>
        <v>261404</v>
      </c>
      <c r="M49" s="122">
        <f t="shared" si="16"/>
        <v>401596</v>
      </c>
      <c r="N49" s="122">
        <f t="shared" si="12"/>
        <v>401596</v>
      </c>
      <c r="O49" s="123"/>
      <c r="P49" s="123"/>
      <c r="Q49" s="123"/>
      <c r="R49" s="122">
        <f t="shared" si="17"/>
        <v>2299.3846153846152</v>
      </c>
      <c r="S49" s="68"/>
      <c r="T49" s="44">
        <f t="shared" si="13"/>
        <v>11.496923076923077</v>
      </c>
      <c r="U49" s="62"/>
      <c r="V49" s="69"/>
    </row>
    <row r="50" spans="1:22" x14ac:dyDescent="0.25">
      <c r="A50" s="35">
        <f t="shared" si="14"/>
        <v>43101</v>
      </c>
      <c r="B50" s="35">
        <v>13</v>
      </c>
      <c r="C50" s="70"/>
      <c r="D50" s="70"/>
      <c r="E50" s="70"/>
      <c r="F50" s="70"/>
      <c r="G50" s="71"/>
      <c r="H50" s="70"/>
      <c r="I50" s="70"/>
      <c r="J50" s="70"/>
      <c r="K50" s="70"/>
      <c r="L50" s="70"/>
      <c r="M50" s="70"/>
      <c r="N50" s="70"/>
      <c r="O50" s="76"/>
      <c r="P50" s="77"/>
      <c r="Q50" s="77"/>
      <c r="R50" s="77"/>
      <c r="S50" s="76"/>
      <c r="T50" s="10"/>
      <c r="U50" s="51"/>
    </row>
    <row r="51" spans="1:22" x14ac:dyDescent="0.25">
      <c r="A51" s="115" t="s">
        <v>13</v>
      </c>
      <c r="B51" s="115"/>
      <c r="C51" s="115"/>
      <c r="D51" s="115"/>
      <c r="E51" s="115"/>
      <c r="F51" s="115"/>
      <c r="G51" s="116"/>
      <c r="H51" s="116"/>
      <c r="I51" s="116"/>
      <c r="J51" s="116"/>
      <c r="K51" s="115"/>
      <c r="L51" s="115"/>
      <c r="M51" s="115"/>
      <c r="N51" s="115"/>
      <c r="O51" s="116"/>
      <c r="P51" s="116"/>
      <c r="Q51" s="116"/>
      <c r="R51" s="116"/>
      <c r="S51" s="115"/>
      <c r="T51" s="117">
        <f>MAX(SUM(T37:T49),0)</f>
        <v>154.46</v>
      </c>
      <c r="U51" s="5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/>
  <dimension ref="A1:J28"/>
  <sheetViews>
    <sheetView showGridLines="0" workbookViewId="0">
      <selection activeCell="B8" sqref="B8"/>
    </sheetView>
  </sheetViews>
  <sheetFormatPr defaultColWidth="0" defaultRowHeight="15" x14ac:dyDescent="0.25"/>
  <cols>
    <col min="1" max="1" width="9.140625" style="6" customWidth="1"/>
    <col min="2" max="2" width="22.85546875" bestFit="1" customWidth="1"/>
    <col min="3" max="3" width="11.42578125" bestFit="1" customWidth="1"/>
    <col min="4" max="4" width="10.5703125" style="6" customWidth="1"/>
    <col min="5" max="5" width="9.140625" customWidth="1"/>
    <col min="6" max="6" width="15.5703125" bestFit="1" customWidth="1"/>
    <col min="7" max="7" width="9.140625" customWidth="1"/>
    <col min="8" max="10" width="0" hidden="1" customWidth="1"/>
    <col min="11" max="16384" width="9.140625" hidden="1"/>
  </cols>
  <sheetData>
    <row r="1" spans="2:6" s="6" customFormat="1" ht="15.75" thickBot="1" x14ac:dyDescent="0.3"/>
    <row r="2" spans="2:6" ht="19.5" thickBot="1" x14ac:dyDescent="0.35">
      <c r="B2" s="154" t="s">
        <v>28</v>
      </c>
      <c r="C2" s="155"/>
      <c r="D2" s="155"/>
      <c r="E2" s="155"/>
      <c r="F2" s="156"/>
    </row>
    <row r="3" spans="2:6" ht="15.75" thickBot="1" x14ac:dyDescent="0.3">
      <c r="B3" s="11" t="s">
        <v>30</v>
      </c>
      <c r="C3" s="15">
        <v>32250</v>
      </c>
    </row>
    <row r="4" spans="2:6" s="6" customFormat="1" x14ac:dyDescent="0.25"/>
    <row r="5" spans="2:6" s="6" customFormat="1" ht="15.75" thickBot="1" x14ac:dyDescent="0.3">
      <c r="B5" s="6" t="s">
        <v>128</v>
      </c>
    </row>
    <row r="6" spans="2:6" ht="15.75" thickBot="1" x14ac:dyDescent="0.3">
      <c r="B6" s="12" t="s">
        <v>16</v>
      </c>
      <c r="C6" s="13" t="s">
        <v>25</v>
      </c>
      <c r="D6" s="13" t="s">
        <v>26</v>
      </c>
      <c r="E6" s="13" t="s">
        <v>31</v>
      </c>
      <c r="F6" s="14" t="s">
        <v>27</v>
      </c>
    </row>
    <row r="7" spans="2:6" x14ac:dyDescent="0.25">
      <c r="B7" s="4">
        <v>42905</v>
      </c>
      <c r="C7" s="20">
        <v>42916</v>
      </c>
      <c r="D7" s="29">
        <f>IF(B7="","",DAY(C7)-DAY(B7)+1)</f>
        <v>12</v>
      </c>
      <c r="E7" s="27">
        <v>0</v>
      </c>
      <c r="F7" s="21">
        <f>IFERROR((100%-E7)*$C$3*(D7/DAY(EOMONTH(B7,0))),"")</f>
        <v>12900</v>
      </c>
    </row>
    <row r="8" spans="2:6" x14ac:dyDescent="0.25">
      <c r="B8" s="17">
        <v>42917</v>
      </c>
      <c r="C8" s="22">
        <v>42932</v>
      </c>
      <c r="D8" s="30">
        <f t="shared" ref="D8:D25" si="0">IF(B8="","",DAY(C8)-DAY(B8)+1)</f>
        <v>16</v>
      </c>
      <c r="E8" s="28">
        <v>0.3</v>
      </c>
      <c r="F8" s="23">
        <f>IFERROR((100%-E8)*$C$3*(D8/DAY(EOMONTH(B8,0))),"")</f>
        <v>11651.612903225807</v>
      </c>
    </row>
    <row r="9" spans="2:6" x14ac:dyDescent="0.25">
      <c r="B9" s="17"/>
      <c r="C9" s="22"/>
      <c r="D9" s="30" t="str">
        <f t="shared" si="0"/>
        <v/>
      </c>
      <c r="E9" s="28"/>
      <c r="F9" s="23" t="str">
        <f t="shared" ref="F9:F25" si="1">IFERROR((100%-E9)*$C$3*(D9/DAY(EOMONTH(B9,0))),"")</f>
        <v/>
      </c>
    </row>
    <row r="10" spans="2:6" x14ac:dyDescent="0.25">
      <c r="B10" s="17"/>
      <c r="C10" s="22"/>
      <c r="D10" s="30" t="str">
        <f t="shared" si="0"/>
        <v/>
      </c>
      <c r="E10" s="28"/>
      <c r="F10" s="23" t="str">
        <f t="shared" si="1"/>
        <v/>
      </c>
    </row>
    <row r="11" spans="2:6" x14ac:dyDescent="0.25">
      <c r="B11" s="18"/>
      <c r="C11" s="24"/>
      <c r="D11" s="30" t="str">
        <f t="shared" si="0"/>
        <v/>
      </c>
      <c r="E11" s="18"/>
      <c r="F11" s="23" t="str">
        <f t="shared" si="1"/>
        <v/>
      </c>
    </row>
    <row r="12" spans="2:6" x14ac:dyDescent="0.25">
      <c r="B12" s="18"/>
      <c r="C12" s="24"/>
      <c r="D12" s="30" t="str">
        <f t="shared" si="0"/>
        <v/>
      </c>
      <c r="E12" s="18"/>
      <c r="F12" s="23" t="str">
        <f t="shared" si="1"/>
        <v/>
      </c>
    </row>
    <row r="13" spans="2:6" x14ac:dyDescent="0.25">
      <c r="B13" s="18"/>
      <c r="C13" s="24"/>
      <c r="D13" s="30" t="str">
        <f t="shared" si="0"/>
        <v/>
      </c>
      <c r="E13" s="18"/>
      <c r="F13" s="23" t="str">
        <f t="shared" si="1"/>
        <v/>
      </c>
    </row>
    <row r="14" spans="2:6" x14ac:dyDescent="0.25">
      <c r="B14" s="18"/>
      <c r="C14" s="24"/>
      <c r="D14" s="30" t="str">
        <f t="shared" si="0"/>
        <v/>
      </c>
      <c r="E14" s="18"/>
      <c r="F14" s="23" t="str">
        <f t="shared" si="1"/>
        <v/>
      </c>
    </row>
    <row r="15" spans="2:6" x14ac:dyDescent="0.25">
      <c r="B15" s="18"/>
      <c r="C15" s="24"/>
      <c r="D15" s="30" t="str">
        <f t="shared" si="0"/>
        <v/>
      </c>
      <c r="E15" s="18"/>
      <c r="F15" s="23" t="str">
        <f t="shared" si="1"/>
        <v/>
      </c>
    </row>
    <row r="16" spans="2:6" x14ac:dyDescent="0.25">
      <c r="B16" s="18"/>
      <c r="C16" s="24"/>
      <c r="D16" s="30" t="str">
        <f t="shared" si="0"/>
        <v/>
      </c>
      <c r="E16" s="18"/>
      <c r="F16" s="23" t="str">
        <f t="shared" si="1"/>
        <v/>
      </c>
    </row>
    <row r="17" spans="2:6" x14ac:dyDescent="0.25">
      <c r="B17" s="18"/>
      <c r="C17" s="24"/>
      <c r="D17" s="30" t="str">
        <f t="shared" si="0"/>
        <v/>
      </c>
      <c r="E17" s="18"/>
      <c r="F17" s="23" t="str">
        <f t="shared" si="1"/>
        <v/>
      </c>
    </row>
    <row r="18" spans="2:6" x14ac:dyDescent="0.25">
      <c r="B18" s="18"/>
      <c r="C18" s="24"/>
      <c r="D18" s="30" t="str">
        <f t="shared" si="0"/>
        <v/>
      </c>
      <c r="E18" s="18"/>
      <c r="F18" s="23" t="str">
        <f t="shared" si="1"/>
        <v/>
      </c>
    </row>
    <row r="19" spans="2:6" x14ac:dyDescent="0.25">
      <c r="B19" s="18"/>
      <c r="C19" s="24"/>
      <c r="D19" s="30" t="str">
        <f t="shared" si="0"/>
        <v/>
      </c>
      <c r="E19" s="18"/>
      <c r="F19" s="23" t="str">
        <f t="shared" si="1"/>
        <v/>
      </c>
    </row>
    <row r="20" spans="2:6" x14ac:dyDescent="0.25">
      <c r="B20" s="18"/>
      <c r="C20" s="24"/>
      <c r="D20" s="30" t="str">
        <f t="shared" si="0"/>
        <v/>
      </c>
      <c r="E20" s="18"/>
      <c r="F20" s="23" t="str">
        <f t="shared" si="1"/>
        <v/>
      </c>
    </row>
    <row r="21" spans="2:6" x14ac:dyDescent="0.25">
      <c r="B21" s="18"/>
      <c r="C21" s="24"/>
      <c r="D21" s="30" t="str">
        <f t="shared" si="0"/>
        <v/>
      </c>
      <c r="E21" s="18"/>
      <c r="F21" s="23" t="str">
        <f t="shared" si="1"/>
        <v/>
      </c>
    </row>
    <row r="22" spans="2:6" x14ac:dyDescent="0.25">
      <c r="B22" s="18"/>
      <c r="C22" s="24"/>
      <c r="D22" s="30" t="str">
        <f t="shared" si="0"/>
        <v/>
      </c>
      <c r="E22" s="18"/>
      <c r="F22" s="23" t="str">
        <f t="shared" si="1"/>
        <v/>
      </c>
    </row>
    <row r="23" spans="2:6" x14ac:dyDescent="0.25">
      <c r="B23" s="18"/>
      <c r="C23" s="24"/>
      <c r="D23" s="30" t="str">
        <f t="shared" si="0"/>
        <v/>
      </c>
      <c r="E23" s="18"/>
      <c r="F23" s="23" t="str">
        <f t="shared" si="1"/>
        <v/>
      </c>
    </row>
    <row r="24" spans="2:6" x14ac:dyDescent="0.25">
      <c r="B24" s="18"/>
      <c r="C24" s="24"/>
      <c r="D24" s="30" t="str">
        <f t="shared" si="0"/>
        <v/>
      </c>
      <c r="E24" s="18"/>
      <c r="F24" s="23" t="str">
        <f t="shared" si="1"/>
        <v/>
      </c>
    </row>
    <row r="25" spans="2:6" ht="15.75" thickBot="1" x14ac:dyDescent="0.3">
      <c r="B25" s="19"/>
      <c r="C25" s="25"/>
      <c r="D25" s="31" t="str">
        <f t="shared" si="0"/>
        <v/>
      </c>
      <c r="E25" s="19"/>
      <c r="F25" s="26" t="str">
        <f t="shared" si="1"/>
        <v/>
      </c>
    </row>
    <row r="26" spans="2:6" ht="15.75" thickBot="1" x14ac:dyDescent="0.3">
      <c r="D26" s="3" t="s">
        <v>29</v>
      </c>
      <c r="E26" s="7"/>
      <c r="F26" s="16">
        <f>CEILING(SUM(F7:F25),1)</f>
        <v>24552</v>
      </c>
    </row>
    <row r="28" spans="2:6" x14ac:dyDescent="0.25">
      <c r="F28" s="134"/>
    </row>
  </sheetData>
  <mergeCells count="1">
    <mergeCell ref="B2:F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3"/>
  <sheetViews>
    <sheetView workbookViewId="0">
      <selection activeCell="C14" sqref="C14"/>
    </sheetView>
  </sheetViews>
  <sheetFormatPr defaultRowHeight="15" x14ac:dyDescent="0.25"/>
  <cols>
    <col min="2" max="2" width="11.85546875" style="50" customWidth="1"/>
    <col min="3" max="3" width="81.140625" customWidth="1"/>
  </cols>
  <sheetData>
    <row r="1" spans="1:3" x14ac:dyDescent="0.25">
      <c r="A1" s="47" t="s">
        <v>37</v>
      </c>
      <c r="B1" s="48" t="s">
        <v>38</v>
      </c>
      <c r="C1" s="47" t="s">
        <v>39</v>
      </c>
    </row>
    <row r="2" spans="1:3" x14ac:dyDescent="0.25">
      <c r="A2" t="s">
        <v>40</v>
      </c>
      <c r="B2" s="49">
        <v>42621</v>
      </c>
      <c r="C2" s="6" t="s">
        <v>49</v>
      </c>
    </row>
    <row r="3" spans="1:3" x14ac:dyDescent="0.25">
      <c r="A3" s="6" t="s">
        <v>40</v>
      </c>
      <c r="B3" s="49">
        <v>42621</v>
      </c>
      <c r="C3" t="s">
        <v>41</v>
      </c>
    </row>
    <row r="4" spans="1:3" x14ac:dyDescent="0.25">
      <c r="A4" s="6" t="s">
        <v>40</v>
      </c>
      <c r="B4" s="49">
        <v>42621</v>
      </c>
      <c r="C4" t="s">
        <v>42</v>
      </c>
    </row>
    <row r="5" spans="1:3" x14ac:dyDescent="0.25">
      <c r="A5" s="6" t="s">
        <v>40</v>
      </c>
      <c r="B5" s="49">
        <v>42621</v>
      </c>
      <c r="C5" t="s">
        <v>43</v>
      </c>
    </row>
    <row r="6" spans="1:3" x14ac:dyDescent="0.25">
      <c r="A6" s="6" t="s">
        <v>40</v>
      </c>
      <c r="B6" s="49">
        <v>42621</v>
      </c>
      <c r="C6" t="s">
        <v>44</v>
      </c>
    </row>
    <row r="7" spans="1:3" x14ac:dyDescent="0.25">
      <c r="A7" s="6" t="s">
        <v>40</v>
      </c>
      <c r="B7" s="49">
        <v>42621</v>
      </c>
      <c r="C7" t="s">
        <v>45</v>
      </c>
    </row>
    <row r="8" spans="1:3" x14ac:dyDescent="0.25">
      <c r="A8" s="6" t="s">
        <v>40</v>
      </c>
      <c r="B8" s="49">
        <v>42621</v>
      </c>
      <c r="C8" s="6" t="s">
        <v>46</v>
      </c>
    </row>
    <row r="9" spans="1:3" x14ac:dyDescent="0.25">
      <c r="A9" t="s">
        <v>50</v>
      </c>
      <c r="B9" s="49">
        <v>42621</v>
      </c>
      <c r="C9" t="s">
        <v>56</v>
      </c>
    </row>
    <row r="10" spans="1:3" x14ac:dyDescent="0.25">
      <c r="A10" t="s">
        <v>57</v>
      </c>
      <c r="B10" s="49">
        <v>42625</v>
      </c>
      <c r="C10" t="s">
        <v>58</v>
      </c>
    </row>
    <row r="11" spans="1:3" x14ac:dyDescent="0.25">
      <c r="A11" s="6" t="s">
        <v>57</v>
      </c>
      <c r="B11" s="49">
        <v>42710</v>
      </c>
      <c r="C11" t="s">
        <v>78</v>
      </c>
    </row>
    <row r="12" spans="1:3" x14ac:dyDescent="0.25">
      <c r="A12" t="s">
        <v>79</v>
      </c>
      <c r="B12" s="49">
        <v>42719</v>
      </c>
      <c r="C12" t="s">
        <v>80</v>
      </c>
    </row>
    <row r="13" spans="1:3" ht="90" x14ac:dyDescent="0.25">
      <c r="A13" s="146" t="s">
        <v>97</v>
      </c>
      <c r="B13" s="147">
        <v>42720</v>
      </c>
      <c r="C13" s="145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0"/>
  <sheetViews>
    <sheetView workbookViewId="0">
      <selection activeCell="K22" sqref="K22"/>
    </sheetView>
  </sheetViews>
  <sheetFormatPr defaultRowHeight="15" x14ac:dyDescent="0.25"/>
  <cols>
    <col min="1" max="5" width="14.7109375" customWidth="1"/>
    <col min="11" max="11" width="44.42578125" bestFit="1" customWidth="1"/>
    <col min="13" max="13" width="44.42578125" bestFit="1" customWidth="1"/>
  </cols>
  <sheetData>
    <row r="1" spans="1:13" ht="36.75" thickBot="1" x14ac:dyDescent="0.3">
      <c r="A1" s="138" t="s">
        <v>81</v>
      </c>
      <c r="B1" s="139" t="s">
        <v>82</v>
      </c>
      <c r="C1" s="139" t="s">
        <v>83</v>
      </c>
      <c r="D1" s="139" t="s">
        <v>25</v>
      </c>
      <c r="E1" s="139" t="s">
        <v>110</v>
      </c>
      <c r="K1" s="1" t="s">
        <v>125</v>
      </c>
      <c r="M1" s="1" t="s">
        <v>126</v>
      </c>
    </row>
    <row r="2" spans="1:13" ht="15.75" thickBot="1" x14ac:dyDescent="0.3">
      <c r="A2" s="140" t="s">
        <v>84</v>
      </c>
      <c r="B2" s="136">
        <v>7710</v>
      </c>
      <c r="C2" s="137">
        <v>42736</v>
      </c>
      <c r="D2" s="137">
        <v>42764</v>
      </c>
      <c r="E2" s="137">
        <f>D2+10</f>
        <v>42774</v>
      </c>
      <c r="H2" s="143"/>
      <c r="I2" s="143"/>
      <c r="J2" s="148">
        <v>1</v>
      </c>
      <c r="K2" s="149" t="s">
        <v>127</v>
      </c>
      <c r="L2" s="150"/>
      <c r="M2" s="151" t="s">
        <v>112</v>
      </c>
    </row>
    <row r="3" spans="1:13" ht="15.75" thickBot="1" x14ac:dyDescent="0.3">
      <c r="A3" s="140" t="s">
        <v>85</v>
      </c>
      <c r="B3" s="136">
        <v>7720</v>
      </c>
      <c r="C3" s="137">
        <v>42765</v>
      </c>
      <c r="D3" s="137">
        <v>42792</v>
      </c>
      <c r="E3" s="137">
        <f t="shared" ref="E3:E14" si="0">D3+10</f>
        <v>42802</v>
      </c>
      <c r="H3" s="143"/>
      <c r="I3" s="143"/>
      <c r="J3" s="148">
        <v>2</v>
      </c>
      <c r="K3" s="149" t="s">
        <v>113</v>
      </c>
      <c r="L3" s="150"/>
      <c r="M3" s="149" t="s">
        <v>113</v>
      </c>
    </row>
    <row r="4" spans="1:13" ht="15.75" thickBot="1" x14ac:dyDescent="0.3">
      <c r="A4" s="140" t="s">
        <v>86</v>
      </c>
      <c r="B4" s="136">
        <v>7730</v>
      </c>
      <c r="C4" s="137">
        <v>42793</v>
      </c>
      <c r="D4" s="137">
        <v>42820</v>
      </c>
      <c r="E4" s="137">
        <f t="shared" si="0"/>
        <v>42830</v>
      </c>
      <c r="H4" s="143"/>
      <c r="I4" s="143"/>
      <c r="J4" s="148">
        <v>3</v>
      </c>
      <c r="K4" s="149" t="s">
        <v>114</v>
      </c>
      <c r="L4" s="150"/>
      <c r="M4" s="149" t="s">
        <v>114</v>
      </c>
    </row>
    <row r="5" spans="1:13" ht="15.75" thickBot="1" x14ac:dyDescent="0.3">
      <c r="A5" s="140" t="s">
        <v>87</v>
      </c>
      <c r="B5" s="136">
        <v>7740</v>
      </c>
      <c r="C5" s="137">
        <v>42821</v>
      </c>
      <c r="D5" s="137">
        <v>42848</v>
      </c>
      <c r="E5" s="137">
        <f t="shared" si="0"/>
        <v>42858</v>
      </c>
      <c r="H5" s="143"/>
      <c r="I5" s="143"/>
      <c r="J5" s="148">
        <v>4</v>
      </c>
      <c r="K5" s="149" t="s">
        <v>115</v>
      </c>
      <c r="L5" s="150"/>
      <c r="M5" s="149" t="s">
        <v>115</v>
      </c>
    </row>
    <row r="6" spans="1:13" ht="15.75" thickBot="1" x14ac:dyDescent="0.3">
      <c r="A6" s="140" t="s">
        <v>88</v>
      </c>
      <c r="B6" s="136">
        <v>7750</v>
      </c>
      <c r="C6" s="137">
        <v>42849</v>
      </c>
      <c r="D6" s="137">
        <v>42876</v>
      </c>
      <c r="E6" s="137">
        <f t="shared" si="0"/>
        <v>42886</v>
      </c>
      <c r="H6" s="143"/>
      <c r="I6" s="143"/>
      <c r="J6" s="148">
        <v>5</v>
      </c>
      <c r="K6" s="149" t="s">
        <v>116</v>
      </c>
      <c r="L6" s="150"/>
      <c r="M6" s="149" t="s">
        <v>116</v>
      </c>
    </row>
    <row r="7" spans="1:13" ht="15.75" thickBot="1" x14ac:dyDescent="0.3">
      <c r="A7" s="140" t="s">
        <v>89</v>
      </c>
      <c r="B7" s="136">
        <v>7760</v>
      </c>
      <c r="C7" s="137">
        <v>42877</v>
      </c>
      <c r="D7" s="137">
        <v>42904</v>
      </c>
      <c r="E7" s="137">
        <f t="shared" si="0"/>
        <v>42914</v>
      </c>
      <c r="H7" s="143"/>
      <c r="I7" s="143"/>
      <c r="J7" s="148">
        <v>6</v>
      </c>
      <c r="K7" s="149" t="s">
        <v>117</v>
      </c>
      <c r="L7" s="150"/>
      <c r="M7" s="149" t="s">
        <v>117</v>
      </c>
    </row>
    <row r="8" spans="1:13" ht="15.75" thickBot="1" x14ac:dyDescent="0.3">
      <c r="A8" s="140" t="s">
        <v>90</v>
      </c>
      <c r="B8" s="136">
        <v>7770</v>
      </c>
      <c r="C8" s="137">
        <v>42905</v>
      </c>
      <c r="D8" s="137">
        <v>42932</v>
      </c>
      <c r="E8" s="137">
        <f t="shared" si="0"/>
        <v>42942</v>
      </c>
      <c r="H8" s="143"/>
      <c r="I8" s="143"/>
      <c r="J8" s="148">
        <v>7</v>
      </c>
      <c r="K8" s="149" t="s">
        <v>118</v>
      </c>
      <c r="L8" s="150"/>
      <c r="M8" s="149" t="s">
        <v>118</v>
      </c>
    </row>
    <row r="9" spans="1:13" ht="15.75" thickBot="1" x14ac:dyDescent="0.3">
      <c r="A9" s="140" t="s">
        <v>91</v>
      </c>
      <c r="B9" s="136">
        <v>7780</v>
      </c>
      <c r="C9" s="137">
        <v>42933</v>
      </c>
      <c r="D9" s="137">
        <v>42960</v>
      </c>
      <c r="E9" s="137">
        <f t="shared" si="0"/>
        <v>42970</v>
      </c>
      <c r="H9" s="143"/>
      <c r="I9" s="143"/>
      <c r="J9" s="148">
        <v>8</v>
      </c>
      <c r="K9" s="149" t="s">
        <v>119</v>
      </c>
      <c r="L9" s="150"/>
      <c r="M9" s="149" t="s">
        <v>119</v>
      </c>
    </row>
    <row r="10" spans="1:13" ht="15.75" thickBot="1" x14ac:dyDescent="0.3">
      <c r="A10" s="140" t="s">
        <v>92</v>
      </c>
      <c r="B10" s="136">
        <v>7790</v>
      </c>
      <c r="C10" s="137">
        <v>42961</v>
      </c>
      <c r="D10" s="137">
        <v>42988</v>
      </c>
      <c r="E10" s="137">
        <f t="shared" si="0"/>
        <v>42998</v>
      </c>
      <c r="H10" s="143"/>
      <c r="I10" s="143"/>
      <c r="J10" s="148">
        <v>9</v>
      </c>
      <c r="K10" s="149" t="s">
        <v>120</v>
      </c>
      <c r="L10" s="150"/>
      <c r="M10" s="149" t="s">
        <v>120</v>
      </c>
    </row>
    <row r="11" spans="1:13" ht="15.75" thickBot="1" x14ac:dyDescent="0.3">
      <c r="A11" s="140" t="s">
        <v>93</v>
      </c>
      <c r="B11" s="136">
        <v>7800</v>
      </c>
      <c r="C11" s="137">
        <v>42989</v>
      </c>
      <c r="D11" s="137">
        <v>43016</v>
      </c>
      <c r="E11" s="137">
        <f t="shared" si="0"/>
        <v>43026</v>
      </c>
      <c r="H11" s="143"/>
      <c r="I11" s="143"/>
      <c r="J11" s="148">
        <v>10</v>
      </c>
      <c r="K11" s="149" t="s">
        <v>121</v>
      </c>
      <c r="L11" s="150"/>
      <c r="M11" s="149" t="s">
        <v>121</v>
      </c>
    </row>
    <row r="12" spans="1:13" ht="15.75" thickBot="1" x14ac:dyDescent="0.3">
      <c r="A12" s="140" t="s">
        <v>94</v>
      </c>
      <c r="B12" s="136">
        <v>7810</v>
      </c>
      <c r="C12" s="137">
        <v>43017</v>
      </c>
      <c r="D12" s="137">
        <v>43044</v>
      </c>
      <c r="E12" s="137">
        <f t="shared" si="0"/>
        <v>43054</v>
      </c>
      <c r="H12" s="143"/>
      <c r="I12" s="143"/>
      <c r="J12" s="148">
        <v>11</v>
      </c>
      <c r="K12" s="149" t="s">
        <v>122</v>
      </c>
      <c r="L12" s="150"/>
      <c r="M12" s="149" t="s">
        <v>122</v>
      </c>
    </row>
    <row r="13" spans="1:13" ht="15.75" thickBot="1" x14ac:dyDescent="0.3">
      <c r="A13" s="140" t="s">
        <v>95</v>
      </c>
      <c r="B13" s="136">
        <v>7820</v>
      </c>
      <c r="C13" s="137">
        <v>43045</v>
      </c>
      <c r="D13" s="137">
        <v>43072</v>
      </c>
      <c r="E13" s="137">
        <f t="shared" si="0"/>
        <v>43082</v>
      </c>
      <c r="H13" s="143"/>
      <c r="I13" s="143"/>
      <c r="J13" s="148">
        <v>12</v>
      </c>
      <c r="K13" s="149" t="s">
        <v>123</v>
      </c>
      <c r="L13" s="150"/>
      <c r="M13" s="149" t="s">
        <v>123</v>
      </c>
    </row>
    <row r="14" spans="1:13" ht="15.75" thickBot="1" x14ac:dyDescent="0.3">
      <c r="A14" s="140" t="s">
        <v>96</v>
      </c>
      <c r="B14" s="136">
        <v>7830</v>
      </c>
      <c r="C14" s="137">
        <v>43073</v>
      </c>
      <c r="D14" s="137">
        <v>43100</v>
      </c>
      <c r="E14" s="137">
        <f t="shared" si="0"/>
        <v>43110</v>
      </c>
      <c r="H14" s="143"/>
      <c r="I14" s="143"/>
      <c r="J14" s="148">
        <v>13</v>
      </c>
      <c r="K14" s="149" t="s">
        <v>124</v>
      </c>
      <c r="L14" s="150"/>
      <c r="M14" s="149" t="s">
        <v>124</v>
      </c>
    </row>
    <row r="15" spans="1:13" x14ac:dyDescent="0.25">
      <c r="H15" s="144"/>
      <c r="I15" s="144"/>
      <c r="J15" s="144"/>
      <c r="K15" s="144"/>
    </row>
    <row r="16" spans="1:13" x14ac:dyDescent="0.25">
      <c r="H16" s="144"/>
      <c r="I16" s="144"/>
      <c r="J16" s="144"/>
      <c r="K16" s="144"/>
    </row>
    <row r="17" spans="1:11" ht="15.75" thickBot="1" x14ac:dyDescent="0.3">
      <c r="H17" s="144"/>
      <c r="I17" s="144"/>
      <c r="J17" s="144"/>
      <c r="K17" s="144"/>
    </row>
    <row r="18" spans="1:11" ht="36.75" thickBot="1" x14ac:dyDescent="0.3">
      <c r="A18" s="141" t="s">
        <v>81</v>
      </c>
      <c r="B18" s="142" t="s">
        <v>82</v>
      </c>
      <c r="C18" s="142" t="s">
        <v>83</v>
      </c>
      <c r="D18" s="142" t="s">
        <v>25</v>
      </c>
      <c r="E18" s="142" t="s">
        <v>110</v>
      </c>
      <c r="H18" s="144"/>
      <c r="I18" s="144"/>
      <c r="J18" s="144"/>
      <c r="K18" s="144"/>
    </row>
    <row r="19" spans="1:11" ht="15.75" thickBot="1" x14ac:dyDescent="0.3">
      <c r="A19" s="140" t="s">
        <v>98</v>
      </c>
      <c r="B19" s="136">
        <v>7010</v>
      </c>
      <c r="C19" s="137">
        <v>42736</v>
      </c>
      <c r="D19" s="137">
        <v>42766</v>
      </c>
      <c r="E19" s="137">
        <f>D19+10</f>
        <v>42776</v>
      </c>
    </row>
    <row r="20" spans="1:11" ht="15.75" thickBot="1" x14ac:dyDescent="0.3">
      <c r="A20" s="140" t="s">
        <v>99</v>
      </c>
      <c r="B20" s="136">
        <v>7020</v>
      </c>
      <c r="C20" s="137">
        <v>42767</v>
      </c>
      <c r="D20" s="137">
        <v>42794</v>
      </c>
      <c r="E20" s="137">
        <f t="shared" ref="E20:E30" si="1">D20+10</f>
        <v>42804</v>
      </c>
    </row>
    <row r="21" spans="1:11" ht="15.75" thickBot="1" x14ac:dyDescent="0.3">
      <c r="A21" s="140" t="s">
        <v>100</v>
      </c>
      <c r="B21" s="136">
        <v>7030</v>
      </c>
      <c r="C21" s="137">
        <v>42795</v>
      </c>
      <c r="D21" s="137">
        <v>42825</v>
      </c>
      <c r="E21" s="137">
        <f t="shared" si="1"/>
        <v>42835</v>
      </c>
    </row>
    <row r="22" spans="1:11" ht="15.75" thickBot="1" x14ac:dyDescent="0.3">
      <c r="A22" s="140" t="s">
        <v>101</v>
      </c>
      <c r="B22" s="136">
        <v>7040</v>
      </c>
      <c r="C22" s="137">
        <v>42826</v>
      </c>
      <c r="D22" s="137">
        <v>42855</v>
      </c>
      <c r="E22" s="137">
        <f t="shared" si="1"/>
        <v>42865</v>
      </c>
    </row>
    <row r="23" spans="1:11" ht="15.75" thickBot="1" x14ac:dyDescent="0.3">
      <c r="A23" s="140" t="s">
        <v>102</v>
      </c>
      <c r="B23" s="136">
        <v>7050</v>
      </c>
      <c r="C23" s="137">
        <v>42856</v>
      </c>
      <c r="D23" s="137">
        <v>42886</v>
      </c>
      <c r="E23" s="137">
        <f t="shared" si="1"/>
        <v>42896</v>
      </c>
    </row>
    <row r="24" spans="1:11" ht="15.75" thickBot="1" x14ac:dyDescent="0.3">
      <c r="A24" s="140" t="s">
        <v>103</v>
      </c>
      <c r="B24" s="136">
        <v>7060</v>
      </c>
      <c r="C24" s="137">
        <v>42887</v>
      </c>
      <c r="D24" s="137">
        <v>42916</v>
      </c>
      <c r="E24" s="137">
        <f t="shared" si="1"/>
        <v>42926</v>
      </c>
    </row>
    <row r="25" spans="1:11" ht="15.75" thickBot="1" x14ac:dyDescent="0.3">
      <c r="A25" s="140" t="s">
        <v>104</v>
      </c>
      <c r="B25" s="136">
        <v>7070</v>
      </c>
      <c r="C25" s="137">
        <v>42917</v>
      </c>
      <c r="D25" s="137">
        <v>42947</v>
      </c>
      <c r="E25" s="137">
        <f t="shared" si="1"/>
        <v>42957</v>
      </c>
    </row>
    <row r="26" spans="1:11" ht="15.75" thickBot="1" x14ac:dyDescent="0.3">
      <c r="A26" s="140" t="s">
        <v>105</v>
      </c>
      <c r="B26" s="136">
        <v>7080</v>
      </c>
      <c r="C26" s="137">
        <v>42948</v>
      </c>
      <c r="D26" s="137">
        <v>42978</v>
      </c>
      <c r="E26" s="137">
        <f t="shared" si="1"/>
        <v>42988</v>
      </c>
    </row>
    <row r="27" spans="1:11" ht="15.75" thickBot="1" x14ac:dyDescent="0.3">
      <c r="A27" s="140" t="s">
        <v>106</v>
      </c>
      <c r="B27" s="136">
        <v>7090</v>
      </c>
      <c r="C27" s="137">
        <v>42979</v>
      </c>
      <c r="D27" s="137">
        <v>43008</v>
      </c>
      <c r="E27" s="137">
        <f t="shared" si="1"/>
        <v>43018</v>
      </c>
    </row>
    <row r="28" spans="1:11" ht="15.75" thickBot="1" x14ac:dyDescent="0.3">
      <c r="A28" s="140" t="s">
        <v>107</v>
      </c>
      <c r="B28" s="136">
        <v>7100</v>
      </c>
      <c r="C28" s="137">
        <v>43009</v>
      </c>
      <c r="D28" s="137">
        <v>43039</v>
      </c>
      <c r="E28" s="137">
        <f t="shared" si="1"/>
        <v>43049</v>
      </c>
    </row>
    <row r="29" spans="1:11" ht="15.75" thickBot="1" x14ac:dyDescent="0.3">
      <c r="A29" s="140" t="s">
        <v>108</v>
      </c>
      <c r="B29" s="136">
        <v>7110</v>
      </c>
      <c r="C29" s="137">
        <v>43040</v>
      </c>
      <c r="D29" s="137">
        <v>43069</v>
      </c>
      <c r="E29" s="137">
        <f t="shared" si="1"/>
        <v>43079</v>
      </c>
    </row>
    <row r="30" spans="1:11" ht="15.75" thickBot="1" x14ac:dyDescent="0.3">
      <c r="A30" s="140" t="s">
        <v>109</v>
      </c>
      <c r="B30" s="136">
        <v>7120</v>
      </c>
      <c r="C30" s="137">
        <v>43070</v>
      </c>
      <c r="D30" s="137">
        <v>43100</v>
      </c>
      <c r="E30" s="137">
        <f t="shared" si="1"/>
        <v>43110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/>
    <Synchronization>Synchronous</Synchronization>
    <Type>2</Type>
    <SequenceNumber>10000</SequenceNumber>
    <Assembly>PGGM.Intranet.Common, Version=1.0.0.0, Culture=neutral, PublicKeyToken=447dc7e8b336dfb7</Assembly>
    <Class>PGGM.Intranet.Common.EventReceivers.BaseContentTypeReceiver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GGMPublicatieniveau xmlns="0430b779-fdff-4f3a-883b-2b20b2dc7145" xsi:nil="true"/>
    <PGGMGlobaleWerkruimte xmlns="0430b779-fdff-4f3a-883b-2b20b2dc7145">Uniforme Pensioen Aangifte (UPA)</PGGMGlobaleWerkruimte>
    <PGGMProcesTaxHTField0 xmlns="0430b779-fdff-4f3a-883b-2b20b2dc7145">
      <Terms xmlns="http://schemas.microsoft.com/office/infopath/2007/PartnerControls"/>
    </PGGMProcesTaxHTField0>
    <PGGMDomein xmlns="0430b779-fdff-4f3a-883b-2b20b2dc7145">Documenten</PGGMDomein>
    <PGGMKlantTaxHTField0 xmlns="0430b779-fdff-4f3a-883b-2b20b2dc7145">
      <Terms xmlns="http://schemas.microsoft.com/office/infopath/2007/PartnerControls"/>
    </PGGMKlantTaxHTField0>
    <PGGMOrganisatieTaxHTField0 xmlns="0430b779-fdff-4f3a-883b-2b20b2dc714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Pensioenbeheer</TermName>
          <TermId xmlns="http://schemas.microsoft.com/office/infopath/2007/PartnerControls">aa33de98-a0a9-4856-8734-c513485c7db6</TermId>
        </TermInfo>
      </Terms>
    </PGGMOrganisatieTaxHTField0>
    <PGGMJaargangTaxHTField0 xmlns="0430b779-fdff-4f3a-883b-2b20b2dc7145">
      <Terms xmlns="http://schemas.microsoft.com/office/infopath/2007/PartnerControls"/>
    </PGGMJaargangTaxHTField0>
    <TaxKeywordTaxHTField xmlns="82ca37d8-9015-4f75-ade8-ba4fb26c233d">
      <Terms xmlns="http://schemas.microsoft.com/office/infopath/2007/PartnerControls"/>
    </TaxKeywordTaxHTField>
    <PGGMKlasse xmlns="0430b779-fdff-4f3a-883b-2b20b2dc7145" xsi:nil="true"/>
    <PGGMWerkruimte xmlns="0430b779-fdff-4f3a-883b-2b20b2dc7145">SWO</PGGMWerkruimte>
    <PGGMProductTaxHTField0 xmlns="0430b779-fdff-4f3a-883b-2b20b2dc7145">
      <Terms xmlns="http://schemas.microsoft.com/office/infopath/2007/PartnerControls"/>
    </PGGMProductTaxHTField0>
    <TaxCatchAll xmlns="82ca37d8-9015-4f75-ade8-ba4fb26c233d">
      <Value>2</Value>
    </TaxCatchAll>
    <AverageRating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erkruimte document" ma:contentTypeID="0x010100AECAD6B594C4417F96C3B49D123521C700F9A38C2A81AE4606804AAD73EFC3132800AB8274F7C8A0A340BEF73C26FDD8408F" ma:contentTypeVersion="3" ma:contentTypeDescription="Inhoudstype voor een PGGM intranet werkruimte document" ma:contentTypeScope="" ma:versionID="d409d71122cc8bda80124fb7ab31626d">
  <xsd:schema xmlns:xsd="http://www.w3.org/2001/XMLSchema" xmlns:xs="http://www.w3.org/2001/XMLSchema" xmlns:p="http://schemas.microsoft.com/office/2006/metadata/properties" xmlns:ns1="http://schemas.microsoft.com/sharepoint/v3" xmlns:ns2="0430b779-fdff-4f3a-883b-2b20b2dc7145" xmlns:ns3="82ca37d8-9015-4f75-ade8-ba4fb26c233d" targetNamespace="http://schemas.microsoft.com/office/2006/metadata/properties" ma:root="true" ma:fieldsID="4a643a63c025992dd0f6c1cd20c8724a" ns1:_="" ns2:_="" ns3:_="">
    <xsd:import namespace="http://schemas.microsoft.com/sharepoint/v3"/>
    <xsd:import namespace="0430b779-fdff-4f3a-883b-2b20b2dc7145"/>
    <xsd:import namespace="82ca37d8-9015-4f75-ade8-ba4fb26c233d"/>
    <xsd:element name="properties">
      <xsd:complexType>
        <xsd:sequence>
          <xsd:element name="documentManagement">
            <xsd:complexType>
              <xsd:all>
                <xsd:element ref="ns2:PGGMDomein" minOccurs="0"/>
                <xsd:element ref="ns2:PGGMKlasse" minOccurs="0"/>
                <xsd:element ref="ns2:PGGMPublicatieniveau" minOccurs="0"/>
                <xsd:element ref="ns2:PGGMWerkruimte" minOccurs="0"/>
                <xsd:element ref="ns2:PGGMGlobaleWerkruimte" minOccurs="0"/>
                <xsd:element ref="ns2:PGGMOrganisatieTaxHTField0" minOccurs="0"/>
                <xsd:element ref="ns2:PGGMProductTaxHTField0" minOccurs="0"/>
                <xsd:element ref="ns2:PGGMProcesTaxHTField0" minOccurs="0"/>
                <xsd:element ref="ns2:PGGMKlantTaxHTField0" minOccurs="0"/>
                <xsd:element ref="ns2:PGGMJaargangTaxHTField0" minOccurs="0"/>
                <xsd:element ref="ns1:RatingCount" minOccurs="0"/>
                <xsd:element ref="ns1:AverageRating" minOccurs="0"/>
                <xsd:element ref="ns3:TaxKeywordTaxHTField" minOccurs="0"/>
                <xsd:element ref="ns3:TaxCatchAll" minOccurs="0"/>
                <xsd:element ref="ns3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atingCount" ma:index="23" nillable="true" ma:displayName="Aantal classificaties" ma:decimals="0" ma:description="Aantal ingediende classificaties" ma:internalName="RatingCount" ma:readOnly="true">
      <xsd:simpleType>
        <xsd:restriction base="dms:Number"/>
      </xsd:simpleType>
    </xsd:element>
    <xsd:element name="AverageRating" ma:index="24" nillable="true" ma:displayName="Classificatie (0-5)" ma:decimals="2" ma:description="Gemiddelde waarde van alle classificaties die zijn ingediend" ma:internalName="AverageRating" ma:readOnly="tru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30b779-fdff-4f3a-883b-2b20b2dc7145" elementFormDefault="qualified">
    <xsd:import namespace="http://schemas.microsoft.com/office/2006/documentManagement/types"/>
    <xsd:import namespace="http://schemas.microsoft.com/office/infopath/2007/PartnerControls"/>
    <xsd:element name="PGGMDomein" ma:index="8" nillable="true" ma:displayName="Domein" ma:internalName="PGGMDomein">
      <xsd:simpleType>
        <xsd:restriction base="dms:Text">
          <xsd:maxLength value="255"/>
        </xsd:restriction>
      </xsd:simpleType>
    </xsd:element>
    <xsd:element name="PGGMKlasse" ma:index="9" nillable="true" ma:displayName="Klasse" ma:internalName="PGGMKlasse">
      <xsd:simpleType>
        <xsd:restriction base="dms:Text">
          <xsd:maxLength value="255"/>
        </xsd:restriction>
      </xsd:simpleType>
    </xsd:element>
    <xsd:element name="PGGMPublicatieniveau" ma:index="10" nillable="true" ma:displayName="Publicatieniveau" ma:internalName="PGGMPublicatieniveau">
      <xsd:simpleType>
        <xsd:restriction base="dms:Text">
          <xsd:maxLength value="255"/>
        </xsd:restriction>
      </xsd:simpleType>
    </xsd:element>
    <xsd:element name="PGGMWerkruimte" ma:index="11" nillable="true" ma:displayName="Werkruimte" ma:internalName="PGGMWerkruimte">
      <xsd:simpleType>
        <xsd:restriction base="dms:Text">
          <xsd:maxLength value="255"/>
        </xsd:restriction>
      </xsd:simpleType>
    </xsd:element>
    <xsd:element name="PGGMGlobaleWerkruimte" ma:index="12" nillable="true" ma:displayName="Globale werkruimte" ma:internalName="PGGMGlobaleWerkruimte">
      <xsd:simpleType>
        <xsd:restriction base="dms:Text">
          <xsd:maxLength value="255"/>
        </xsd:restriction>
      </xsd:simpleType>
    </xsd:element>
    <xsd:element name="PGGMOrganisatieTaxHTField0" ma:index="13" ma:taxonomy="true" ma:internalName="PGGMOrganisatieTaxHTField0" ma:taxonomyFieldName="PGGMOrganisatie" ma:displayName="Organisatie" ma:default="1;#PGGM|c22b4471-167b-4cd8-8dc2-72e25e3d8116" ma:fieldId="{74c10e6e-018a-45a9-adec-aeed5595a60d}" ma:taxonomyMulti="true" ma:sspId="584516d8-0abd-482d-a588-2fb299b8fc8a" ma:termSetId="8e7d69e2-c466-4cfb-8c6a-1468363f3c9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GGMProductTaxHTField0" ma:index="15" nillable="true" ma:taxonomy="true" ma:internalName="PGGMProductTaxHTField0" ma:taxonomyFieldName="PGGMProduct" ma:displayName="Product" ma:default="" ma:fieldId="{a3c2fd52-10f1-4f7a-961e-db1b6ee855da}" ma:taxonomyMulti="true" ma:sspId="584516d8-0abd-482d-a588-2fb299b8fc8a" ma:termSetId="08120341-da75-4a36-8543-5577b35379a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GGMProcesTaxHTField0" ma:index="17" nillable="true" ma:taxonomy="true" ma:internalName="PGGMProcesTaxHTField0" ma:taxonomyFieldName="PGGMProces" ma:displayName="Proces" ma:default="" ma:fieldId="{857929f7-8c28-4be2-910e-b615ff9e9fdd}" ma:taxonomyMulti="true" ma:sspId="584516d8-0abd-482d-a588-2fb299b8fc8a" ma:termSetId="3510a422-d6c0-4dbb-8a3d-fbef15ffa5c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GGMKlantTaxHTField0" ma:index="19" nillable="true" ma:taxonomy="true" ma:internalName="PGGMKlantTaxHTField0" ma:taxonomyFieldName="PGGMKlant" ma:displayName="Klant" ma:default="" ma:fieldId="{cb858a6a-0ab9-4029-a0d6-9774a9be39fa}" ma:taxonomyMulti="true" ma:sspId="584516d8-0abd-482d-a588-2fb299b8fc8a" ma:termSetId="cdeb526d-325a-443a-8f0a-e47408cbc5f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GGMJaargangTaxHTField0" ma:index="21" nillable="true" ma:taxonomy="true" ma:internalName="PGGMJaargangTaxHTField0" ma:taxonomyFieldName="PGGMJaargang" ma:displayName="Jaargang" ma:default="" ma:fieldId="{004cd0af-f5f0-4061-aa67-4252ecf9a8ac}" ma:taxonomyMulti="true" ma:sspId="584516d8-0abd-482d-a588-2fb299b8fc8a" ma:termSetId="11551cef-75b6-447b-bea7-6e72ce6d3d9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ca37d8-9015-4f75-ade8-ba4fb26c233d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25" nillable="true" ma:taxonomy="true" ma:internalName="TaxKeywordTaxHTField" ma:taxonomyFieldName="TaxKeyword" ma:displayName="Ondernemingstrefwoorden" ma:fieldId="{23f27201-bee3-471e-b2e7-b64fd8b7ca38}" ma:taxonomyMulti="true" ma:sspId="584516d8-0abd-482d-a588-2fb299b8fc8a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6" nillable="true" ma:displayName="Catch-all-kolom van taxonomie" ma:description="" ma:hidden="true" ma:list="{d854c689-f478-4b96-a1ee-c1259a9f4e01}" ma:internalName="TaxCatchAll" ma:showField="CatchAllData" ma:web="82ca37d8-9015-4f75-ade8-ba4fb26c23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7" nillable="true" ma:displayName="Catch-all-kolom van taxonomie1" ma:description="" ma:hidden="true" ma:list="{d854c689-f478-4b96-a1ee-c1259a9f4e01}" ma:internalName="TaxCatchAllLabel" ma:readOnly="true" ma:showField="CatchAllDataLabel" ma:web="82ca37d8-9015-4f75-ade8-ba4fb26c23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14B8D1-768B-43D0-BAC1-2BF03CC28F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2875E-1CAE-422F-8B23-77E43E7B998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EA4B9D3-BE2A-4E9B-9C6B-35C0A48E31EF}">
  <ds:schemaRefs>
    <ds:schemaRef ds:uri="0430b779-fdff-4f3a-883b-2b20b2dc7145"/>
    <ds:schemaRef ds:uri="http://purl.org/dc/terms/"/>
    <ds:schemaRef ds:uri="82ca37d8-9015-4f75-ade8-ba4fb26c233d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46E0A52-AA5D-4725-91FB-386DBA48D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30b779-fdff-4f3a-883b-2b20b2dc7145"/>
    <ds:schemaRef ds:uri="82ca37d8-9015-4f75-ade8-ba4fb26c2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Maand</vt:lpstr>
      <vt:lpstr>4-weken</vt:lpstr>
      <vt:lpstr>Gewogen salaris</vt:lpstr>
      <vt:lpstr>Versiebeheer</vt:lpstr>
      <vt:lpstr>Tijdvakken</vt:lpstr>
      <vt:lpstr>'4-weken'!FT_jaar_salaris</vt:lpstr>
      <vt:lpstr>FT_jaar_salaris</vt:lpstr>
    </vt:vector>
  </TitlesOfParts>
  <Company>PGGM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Puijvelde van, Pascal</dc:creator>
  <cp:lastModifiedBy>Wouter Hofman</cp:lastModifiedBy>
  <dcterms:created xsi:type="dcterms:W3CDTF">2014-09-05T14:10:25Z</dcterms:created>
  <dcterms:modified xsi:type="dcterms:W3CDTF">2017-11-14T17:03:31Z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0x010100AECAD6B594C4417F96C3B49D123521C700F9A38C2A81AE4606804AAD73EFC3132800AB8274F7C8A0A340BEF73C26FDD8408F</vt:lpwstr>
  </property>
  <property fmtid="{D5CDD505-2E9C-101B-9397-08002B2CF9AE}" pid="3" name="TaxKeyword">
    <vt:lpwstr/>
  </property>
  <property fmtid="{D5CDD505-2E9C-101B-9397-08002B2CF9AE}" pid="4" name="PGGMKlant">
    <vt:lpwstr/>
  </property>
  <property fmtid="{D5CDD505-2E9C-101B-9397-08002B2CF9AE}" pid="5" name="PGGMProces">
    <vt:lpwstr/>
  </property>
  <property fmtid="{D5CDD505-2E9C-101B-9397-08002B2CF9AE}" pid="6" name="PGGMOrganisatie">
    <vt:lpwstr>2;#Pensioenbeheer|aa33de98-a0a9-4856-8734-c513485c7db6</vt:lpwstr>
  </property>
  <property fmtid="{D5CDD505-2E9C-101B-9397-08002B2CF9AE}" pid="7" name="PGGMJaargang">
    <vt:lpwstr/>
  </property>
  <property fmtid="{D5CDD505-2E9C-101B-9397-08002B2CF9AE}" pid="8" name="PGGMProduct">
    <vt:lpwstr/>
  </property>
</Properties>
</file>